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style8.xml" ContentType="application/vnd.ms-office.chartstyle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6.xml" ContentType="application/vnd.ms-office.chartstyle+xml"/>
  <Override PartName="/xl/charts/style7.xml" ContentType="application/vnd.ms-office.chartsty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Override PartName="/xl/charts/style5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olors8.xml" ContentType="application/vnd.ms-office.chartcolorstyle+xml"/>
  <Override PartName="/xl/charts/colors9.xml" ContentType="application/vnd.ms-office.chartcolorstyle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olors6.xml" ContentType="application/vnd.ms-office.chartcolorstyle+xml"/>
  <Override PartName="/xl/charts/colors7.xml" ContentType="application/vnd.ms-office.chartcolorstyle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harts/colors4.xml" ContentType="application/vnd.ms-office.chartcolorstyle+xml"/>
  <Override PartName="/xl/charts/colors5.xml" ContentType="application/vnd.ms-office.chartcolorstyle+xml"/>
  <Override PartName="/xl/charts/colors10.xml" ContentType="application/vnd.ms-office.chartcolorstyle+xml"/>
  <Override PartName="/xl/charts/style10.xml" ContentType="application/vnd.ms-office.chart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style9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6" windowHeight="13176" activeTab="5"/>
  </bookViews>
  <sheets>
    <sheet name="Naslovna" sheetId="8" r:id="rId1"/>
    <sheet name="Prihodi" sheetId="1" r:id="rId2"/>
    <sheet name="Tabela B" sheetId="2" r:id="rId3"/>
    <sheet name="Orga" sheetId="3" r:id="rId4"/>
    <sheet name="Funk" sheetId="4" r:id="rId5"/>
    <sheet name="Tab C" sheetId="5" r:id="rId6"/>
    <sheet name="Dijagram prihoda" sheetId="9" r:id="rId7"/>
    <sheet name="Dijagram rashoda" sheetId="10" r:id="rId8"/>
  </sheets>
  <externalReferences>
    <externalReference r:id="rId9"/>
  </externalReferences>
  <definedNames>
    <definedName name="_xlnm._FilterDatabase" localSheetId="5" hidden="1">'Tab C'!$A$4:$N$391</definedName>
    <definedName name="_xlnm.Print_Area" localSheetId="1">Prihodi!$A$3:$J$99</definedName>
    <definedName name="_xlnm.Print_Area" localSheetId="5">'Tab C'!$A$1:$N$406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43" i="5"/>
  <c r="L342"/>
  <c r="L341"/>
  <c r="H98" i="1"/>
  <c r="I98"/>
  <c r="H83"/>
  <c r="I83"/>
  <c r="D82"/>
  <c r="E82"/>
  <c r="F82"/>
  <c r="G82"/>
  <c r="H92"/>
  <c r="I92"/>
  <c r="D94"/>
  <c r="D93" s="1"/>
  <c r="E94"/>
  <c r="E93" s="1"/>
  <c r="F94"/>
  <c r="F93" s="1"/>
  <c r="G94"/>
  <c r="G93" s="1"/>
  <c r="H95"/>
  <c r="I95"/>
  <c r="D97"/>
  <c r="D96" s="1"/>
  <c r="E97"/>
  <c r="E96" s="1"/>
  <c r="F97"/>
  <c r="F96" s="1"/>
  <c r="G97"/>
  <c r="G96" s="1"/>
  <c r="F25" i="4"/>
  <c r="L127" i="5"/>
  <c r="M127"/>
  <c r="F27" i="4"/>
  <c r="F30"/>
  <c r="F26"/>
  <c r="F22"/>
  <c r="F21"/>
  <c r="F13"/>
  <c r="F12"/>
  <c r="F7"/>
  <c r="F9"/>
  <c r="F8"/>
  <c r="F41"/>
  <c r="F35"/>
  <c r="F36"/>
  <c r="H82" i="1" l="1"/>
  <c r="I82"/>
  <c r="I93"/>
  <c r="H93"/>
  <c r="H94"/>
  <c r="I94"/>
  <c r="I96"/>
  <c r="H96"/>
  <c r="H97"/>
  <c r="I97"/>
  <c r="F24" i="4"/>
  <c r="F11"/>
  <c r="F46"/>
  <c r="F45"/>
  <c r="F44"/>
  <c r="F40"/>
  <c r="F39" s="1"/>
  <c r="F37"/>
  <c r="F34"/>
  <c r="F31"/>
  <c r="F29" s="1"/>
  <c r="F20"/>
  <c r="F19" s="1"/>
  <c r="F16"/>
  <c r="G29" i="2"/>
  <c r="G36"/>
  <c r="G35"/>
  <c r="G53"/>
  <c r="G15"/>
  <c r="G44"/>
  <c r="G40"/>
  <c r="G39"/>
  <c r="G38"/>
  <c r="G37"/>
  <c r="G31"/>
  <c r="G30"/>
  <c r="G28"/>
  <c r="G27"/>
  <c r="G26"/>
  <c r="G25"/>
  <c r="G24"/>
  <c r="G23"/>
  <c r="G19"/>
  <c r="G14"/>
  <c r="M325" i="5"/>
  <c r="G54" i="2"/>
  <c r="G52"/>
  <c r="F44"/>
  <c r="K358" i="5"/>
  <c r="E58" i="2"/>
  <c r="F58"/>
  <c r="G58"/>
  <c r="G56" s="1"/>
  <c r="E23"/>
  <c r="F23"/>
  <c r="E14"/>
  <c r="F14"/>
  <c r="F33" i="4" l="1"/>
  <c r="F43"/>
  <c r="G50" i="2"/>
  <c r="G48" s="1"/>
  <c r="M343" i="5" l="1"/>
  <c r="M342"/>
  <c r="M333"/>
  <c r="L333"/>
  <c r="L128"/>
  <c r="M128"/>
  <c r="L138"/>
  <c r="M138"/>
  <c r="L203"/>
  <c r="M203"/>
  <c r="K250"/>
  <c r="L244"/>
  <c r="M244"/>
  <c r="L243"/>
  <c r="M243"/>
  <c r="L245"/>
  <c r="M245"/>
  <c r="J358" l="1"/>
  <c r="J365" s="1"/>
  <c r="D46" i="4"/>
  <c r="E46"/>
  <c r="D45"/>
  <c r="E45"/>
  <c r="D44"/>
  <c r="E44"/>
  <c r="D41"/>
  <c r="E41"/>
  <c r="D40"/>
  <c r="E40"/>
  <c r="D37"/>
  <c r="E37"/>
  <c r="D36"/>
  <c r="E36"/>
  <c r="D35"/>
  <c r="E35"/>
  <c r="D34"/>
  <c r="E34"/>
  <c r="D31"/>
  <c r="E31"/>
  <c r="D30"/>
  <c r="E30"/>
  <c r="D27"/>
  <c r="E27"/>
  <c r="D26"/>
  <c r="E26"/>
  <c r="D25"/>
  <c r="E25"/>
  <c r="D22"/>
  <c r="E22"/>
  <c r="D21"/>
  <c r="E21"/>
  <c r="D20"/>
  <c r="E20"/>
  <c r="D16"/>
  <c r="E16"/>
  <c r="D13"/>
  <c r="E13"/>
  <c r="D12"/>
  <c r="E12"/>
  <c r="D9"/>
  <c r="E9"/>
  <c r="D8"/>
  <c r="E8"/>
  <c r="D7"/>
  <c r="E7"/>
  <c r="C35"/>
  <c r="I43" i="8"/>
  <c r="J43"/>
  <c r="J40" s="1"/>
  <c r="L308" i="5"/>
  <c r="M308"/>
  <c r="L202"/>
  <c r="L89"/>
  <c r="L158"/>
  <c r="L157"/>
  <c r="J147"/>
  <c r="K147"/>
  <c r="F61" i="2"/>
  <c r="F60" s="1"/>
  <c r="I28" i="8" s="1"/>
  <c r="G61" i="2"/>
  <c r="G60" s="1"/>
  <c r="J28" i="8" s="1"/>
  <c r="F56" i="2"/>
  <c r="F54"/>
  <c r="F53"/>
  <c r="F52"/>
  <c r="F45"/>
  <c r="G45"/>
  <c r="F40"/>
  <c r="F39"/>
  <c r="F38"/>
  <c r="F37"/>
  <c r="F36"/>
  <c r="E38"/>
  <c r="E39"/>
  <c r="E40"/>
  <c r="F35"/>
  <c r="F31"/>
  <c r="F30"/>
  <c r="F29"/>
  <c r="F28"/>
  <c r="F27"/>
  <c r="F26"/>
  <c r="F25"/>
  <c r="F24"/>
  <c r="F19"/>
  <c r="F17" s="1"/>
  <c r="G17"/>
  <c r="F15"/>
  <c r="J295" i="5"/>
  <c r="E10" i="3" s="1"/>
  <c r="J391" i="5"/>
  <c r="K391"/>
  <c r="J388"/>
  <c r="E12" i="3" s="1"/>
  <c r="K388" i="5"/>
  <c r="K223"/>
  <c r="J223"/>
  <c r="E8" i="3" s="1"/>
  <c r="G10" i="1"/>
  <c r="G7"/>
  <c r="D84"/>
  <c r="D81" s="1"/>
  <c r="E84"/>
  <c r="E81" s="1"/>
  <c r="F84"/>
  <c r="F81" s="1"/>
  <c r="G84"/>
  <c r="G81" s="1"/>
  <c r="F23"/>
  <c r="I20" i="8" s="1"/>
  <c r="F18" i="1"/>
  <c r="F12"/>
  <c r="F67"/>
  <c r="E10"/>
  <c r="F10"/>
  <c r="G23"/>
  <c r="J20" i="8" s="1"/>
  <c r="L207" i="5"/>
  <c r="L206"/>
  <c r="L104"/>
  <c r="L103"/>
  <c r="J34"/>
  <c r="E6" i="3" s="1"/>
  <c r="I391" i="5"/>
  <c r="E90" i="1"/>
  <c r="E89" s="1"/>
  <c r="E88" s="1"/>
  <c r="F90"/>
  <c r="F89" s="1"/>
  <c r="F88" s="1"/>
  <c r="G90"/>
  <c r="G89" s="1"/>
  <c r="G88" s="1"/>
  <c r="E74"/>
  <c r="F74"/>
  <c r="G74"/>
  <c r="E72"/>
  <c r="F72"/>
  <c r="G72"/>
  <c r="E69"/>
  <c r="F69"/>
  <c r="G69"/>
  <c r="E67"/>
  <c r="G67"/>
  <c r="E64"/>
  <c r="F64"/>
  <c r="G64"/>
  <c r="E55"/>
  <c r="F55"/>
  <c r="G55"/>
  <c r="E50"/>
  <c r="F50"/>
  <c r="G50"/>
  <c r="E47"/>
  <c r="F47"/>
  <c r="G47"/>
  <c r="E45"/>
  <c r="F45"/>
  <c r="G45"/>
  <c r="E42"/>
  <c r="F42"/>
  <c r="G42"/>
  <c r="E38"/>
  <c r="F38"/>
  <c r="G38"/>
  <c r="E35"/>
  <c r="F35"/>
  <c r="G35"/>
  <c r="E31"/>
  <c r="F31"/>
  <c r="I21" i="8" s="1"/>
  <c r="G31" i="1"/>
  <c r="J21" i="8" s="1"/>
  <c r="E23" i="1"/>
  <c r="E21"/>
  <c r="F21"/>
  <c r="G21"/>
  <c r="E18"/>
  <c r="G18"/>
  <c r="E12"/>
  <c r="G12"/>
  <c r="E7"/>
  <c r="F7"/>
  <c r="D47"/>
  <c r="D72"/>
  <c r="D74"/>
  <c r="L246" i="5"/>
  <c r="M246"/>
  <c r="C34" i="4"/>
  <c r="C12"/>
  <c r="C9"/>
  <c r="C8"/>
  <c r="C7"/>
  <c r="E54" i="2"/>
  <c r="E15"/>
  <c r="D15"/>
  <c r="I295" i="5"/>
  <c r="K295"/>
  <c r="F10" i="3" s="1"/>
  <c r="I250" i="5"/>
  <c r="J250"/>
  <c r="E9" i="3" s="1"/>
  <c r="I166" i="5"/>
  <c r="D6" i="4" s="1"/>
  <c r="J166" i="5"/>
  <c r="E6" i="4" s="1"/>
  <c r="K166" i="5"/>
  <c r="F6" i="4" s="1"/>
  <c r="F5" s="1"/>
  <c r="K164" i="5"/>
  <c r="I164"/>
  <c r="J164"/>
  <c r="J22" i="8" l="1"/>
  <c r="J19" s="1"/>
  <c r="F12" i="3"/>
  <c r="F17" i="4"/>
  <c r="F15" s="1"/>
  <c r="J25" i="8"/>
  <c r="I22"/>
  <c r="I40"/>
  <c r="I44"/>
  <c r="D33" i="4"/>
  <c r="D11"/>
  <c r="D29"/>
  <c r="E33"/>
  <c r="D24"/>
  <c r="E29"/>
  <c r="E43"/>
  <c r="D39"/>
  <c r="E11"/>
  <c r="D19"/>
  <c r="E24"/>
  <c r="E39"/>
  <c r="D43"/>
  <c r="J168" i="5"/>
  <c r="E7" i="3" s="1"/>
  <c r="E17" i="4"/>
  <c r="E15" s="1"/>
  <c r="E19"/>
  <c r="D5"/>
  <c r="E5"/>
  <c r="E11" i="3"/>
  <c r="J31" i="8"/>
  <c r="K168" i="5"/>
  <c r="I19" i="8"/>
  <c r="F33" i="2"/>
  <c r="G42"/>
  <c r="F12"/>
  <c r="F50"/>
  <c r="F42"/>
  <c r="G33"/>
  <c r="F21"/>
  <c r="G21"/>
  <c r="H84" i="1"/>
  <c r="I84"/>
  <c r="D71"/>
  <c r="H24" i="8" s="1"/>
  <c r="G71" i="1"/>
  <c r="J24" i="8" s="1"/>
  <c r="E71" i="1"/>
  <c r="F6"/>
  <c r="E6"/>
  <c r="J30" i="8"/>
  <c r="I30"/>
  <c r="I25"/>
  <c r="F71" i="1"/>
  <c r="I24" i="8" s="1"/>
  <c r="E37" i="1"/>
  <c r="G37"/>
  <c r="J23" i="8" s="1"/>
  <c r="F37" i="1"/>
  <c r="I23" i="8" s="1"/>
  <c r="G6" i="1"/>
  <c r="G34" i="4"/>
  <c r="L95" i="5"/>
  <c r="M95"/>
  <c r="I34"/>
  <c r="K34"/>
  <c r="M341"/>
  <c r="M11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9"/>
  <c r="M130"/>
  <c r="M131"/>
  <c r="M132"/>
  <c r="M133"/>
  <c r="M134"/>
  <c r="M135"/>
  <c r="M136"/>
  <c r="M137"/>
  <c r="M139"/>
  <c r="M140"/>
  <c r="M141"/>
  <c r="M142"/>
  <c r="M143"/>
  <c r="M144"/>
  <c r="M145"/>
  <c r="M146"/>
  <c r="M148"/>
  <c r="M149"/>
  <c r="M150"/>
  <c r="M152"/>
  <c r="M153"/>
  <c r="M154"/>
  <c r="M155"/>
  <c r="M156"/>
  <c r="M157"/>
  <c r="M158"/>
  <c r="M159"/>
  <c r="M160"/>
  <c r="M161"/>
  <c r="M162"/>
  <c r="M163"/>
  <c r="M164"/>
  <c r="M165"/>
  <c r="M166"/>
  <c r="M167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9"/>
  <c r="M230"/>
  <c r="M231"/>
  <c r="M232"/>
  <c r="M233"/>
  <c r="M234"/>
  <c r="M235"/>
  <c r="M236"/>
  <c r="M237"/>
  <c r="M238"/>
  <c r="M239"/>
  <c r="M240"/>
  <c r="M241"/>
  <c r="M242"/>
  <c r="M247"/>
  <c r="M248"/>
  <c r="M249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301"/>
  <c r="M302"/>
  <c r="M303"/>
  <c r="M304"/>
  <c r="M305"/>
  <c r="M306"/>
  <c r="M307"/>
  <c r="M309"/>
  <c r="M310"/>
  <c r="M311"/>
  <c r="M312"/>
  <c r="M313"/>
  <c r="M314"/>
  <c r="M315"/>
  <c r="M316"/>
  <c r="M317"/>
  <c r="M318"/>
  <c r="M319"/>
  <c r="M320"/>
  <c r="M321"/>
  <c r="M322"/>
  <c r="M323"/>
  <c r="M324"/>
  <c r="M326"/>
  <c r="M327"/>
  <c r="M328"/>
  <c r="M329"/>
  <c r="M330"/>
  <c r="M331"/>
  <c r="M332"/>
  <c r="M334"/>
  <c r="M335"/>
  <c r="M336"/>
  <c r="M337"/>
  <c r="M338"/>
  <c r="M339"/>
  <c r="M340"/>
  <c r="M344"/>
  <c r="M345"/>
  <c r="M346"/>
  <c r="M347"/>
  <c r="M348"/>
  <c r="M349"/>
  <c r="M350"/>
  <c r="M351"/>
  <c r="M352"/>
  <c r="M353"/>
  <c r="M354"/>
  <c r="M355"/>
  <c r="M356"/>
  <c r="M357"/>
  <c r="M359"/>
  <c r="M360"/>
  <c r="M361"/>
  <c r="M362"/>
  <c r="M363"/>
  <c r="M364"/>
  <c r="M374"/>
  <c r="M375"/>
  <c r="M376"/>
  <c r="M377"/>
  <c r="M378"/>
  <c r="M379"/>
  <c r="M380"/>
  <c r="M381"/>
  <c r="M382"/>
  <c r="M383"/>
  <c r="M384"/>
  <c r="M385"/>
  <c r="M386"/>
  <c r="M387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L11"/>
  <c r="I16" i="2"/>
  <c r="J18" i="8" l="1"/>
  <c r="J32"/>
  <c r="I18"/>
  <c r="E13" i="3"/>
  <c r="E47" i="4"/>
  <c r="J390" i="5"/>
  <c r="F47" i="4"/>
  <c r="F48" i="2"/>
  <c r="I31" i="8"/>
  <c r="I32" s="1"/>
  <c r="F6" i="3"/>
  <c r="F10" i="2"/>
  <c r="E87" i="1"/>
  <c r="E99" s="1"/>
  <c r="G87"/>
  <c r="G99" s="1"/>
  <c r="J98" s="1"/>
  <c r="F87"/>
  <c r="F99" s="1"/>
  <c r="I61"/>
  <c r="I62"/>
  <c r="I63"/>
  <c r="I65"/>
  <c r="I66"/>
  <c r="I68"/>
  <c r="I70"/>
  <c r="I73"/>
  <c r="I75"/>
  <c r="I76"/>
  <c r="I77"/>
  <c r="I78"/>
  <c r="I79"/>
  <c r="I80"/>
  <c r="I85"/>
  <c r="I86"/>
  <c r="I91"/>
  <c r="I44"/>
  <c r="I46"/>
  <c r="I48"/>
  <c r="I49"/>
  <c r="I51"/>
  <c r="I52"/>
  <c r="I53"/>
  <c r="I54"/>
  <c r="I56"/>
  <c r="I57"/>
  <c r="I58"/>
  <c r="I59"/>
  <c r="I60"/>
  <c r="I33"/>
  <c r="I34"/>
  <c r="I36"/>
  <c r="I39"/>
  <c r="I40"/>
  <c r="I41"/>
  <c r="I43"/>
  <c r="I19"/>
  <c r="I20"/>
  <c r="I22"/>
  <c r="I24"/>
  <c r="I25"/>
  <c r="I26"/>
  <c r="I27"/>
  <c r="I28"/>
  <c r="I29"/>
  <c r="I30"/>
  <c r="I32"/>
  <c r="I8"/>
  <c r="I9"/>
  <c r="I10"/>
  <c r="I11"/>
  <c r="I13"/>
  <c r="I14"/>
  <c r="I15"/>
  <c r="I16"/>
  <c r="I17"/>
  <c r="L364" i="5"/>
  <c r="J82" i="1" l="1"/>
  <c r="J83"/>
  <c r="J92"/>
  <c r="J94"/>
  <c r="J93"/>
  <c r="J96"/>
  <c r="J95"/>
  <c r="J97"/>
  <c r="F62" i="2"/>
  <c r="I27" i="8"/>
  <c r="I26" s="1"/>
  <c r="I29" s="1"/>
  <c r="I33" s="1"/>
  <c r="I46" s="1"/>
  <c r="J84" i="1"/>
  <c r="H9"/>
  <c r="H41" i="4"/>
  <c r="H9"/>
  <c r="E53" i="2"/>
  <c r="I53"/>
  <c r="D54"/>
  <c r="D53"/>
  <c r="E45"/>
  <c r="I45"/>
  <c r="E44"/>
  <c r="I44"/>
  <c r="E31"/>
  <c r="I31"/>
  <c r="E26"/>
  <c r="I26"/>
  <c r="D26"/>
  <c r="D27"/>
  <c r="C41" i="4" l="1"/>
  <c r="L274" i="5"/>
  <c r="L273"/>
  <c r="E29" i="2"/>
  <c r="I29"/>
  <c r="D29"/>
  <c r="E52"/>
  <c r="I52"/>
  <c r="E61"/>
  <c r="I61"/>
  <c r="I40"/>
  <c r="I38"/>
  <c r="I39"/>
  <c r="E36"/>
  <c r="I36"/>
  <c r="E37"/>
  <c r="I37"/>
  <c r="E35"/>
  <c r="I35"/>
  <c r="E30"/>
  <c r="I30"/>
  <c r="E28"/>
  <c r="I28"/>
  <c r="E27"/>
  <c r="I27"/>
  <c r="E25"/>
  <c r="I25"/>
  <c r="E24"/>
  <c r="I24"/>
  <c r="I23"/>
  <c r="E19"/>
  <c r="E17" s="1"/>
  <c r="I15"/>
  <c r="I14"/>
  <c r="H22" i="4"/>
  <c r="C22"/>
  <c r="H46"/>
  <c r="H45"/>
  <c r="H44"/>
  <c r="H6"/>
  <c r="H164" i="5"/>
  <c r="H166"/>
  <c r="C6" i="4" s="1"/>
  <c r="C44"/>
  <c r="C46"/>
  <c r="C45"/>
  <c r="H40"/>
  <c r="C40"/>
  <c r="H37"/>
  <c r="H36"/>
  <c r="H35"/>
  <c r="H34"/>
  <c r="H27"/>
  <c r="H26"/>
  <c r="H25"/>
  <c r="H21"/>
  <c r="H20"/>
  <c r="C36"/>
  <c r="C37"/>
  <c r="C31"/>
  <c r="C30"/>
  <c r="C27"/>
  <c r="C26"/>
  <c r="C25"/>
  <c r="C21"/>
  <c r="C20"/>
  <c r="H7"/>
  <c r="H8"/>
  <c r="H12"/>
  <c r="H13"/>
  <c r="H16"/>
  <c r="C16"/>
  <c r="C13"/>
  <c r="D23" i="2"/>
  <c r="D18" i="1"/>
  <c r="H391" i="5"/>
  <c r="H358"/>
  <c r="H365" s="1"/>
  <c r="I358"/>
  <c r="I365" s="1"/>
  <c r="I147"/>
  <c r="I168" s="1"/>
  <c r="H147"/>
  <c r="H168" s="1"/>
  <c r="C7" i="3" s="1"/>
  <c r="I64" i="1"/>
  <c r="D64"/>
  <c r="H43" i="8"/>
  <c r="K43" s="1"/>
  <c r="K365" i="5" l="1"/>
  <c r="K390" s="1"/>
  <c r="N127" s="1"/>
  <c r="H30" i="4"/>
  <c r="G31"/>
  <c r="H31"/>
  <c r="I17" i="2"/>
  <c r="I19"/>
  <c r="G13" i="4"/>
  <c r="C29"/>
  <c r="G9"/>
  <c r="H39"/>
  <c r="G7"/>
  <c r="G8"/>
  <c r="G6"/>
  <c r="H11"/>
  <c r="G12"/>
  <c r="E12" i="2"/>
  <c r="G12"/>
  <c r="G10" s="1"/>
  <c r="H33" i="4"/>
  <c r="H24"/>
  <c r="D61" i="2"/>
  <c r="D58"/>
  <c r="D56" s="1"/>
  <c r="D52"/>
  <c r="D45"/>
  <c r="D44"/>
  <c r="D40"/>
  <c r="D39"/>
  <c r="D38"/>
  <c r="D37"/>
  <c r="D36"/>
  <c r="D35"/>
  <c r="D31"/>
  <c r="D30"/>
  <c r="D28"/>
  <c r="D25"/>
  <c r="D24"/>
  <c r="D19"/>
  <c r="D17" s="1"/>
  <c r="D14"/>
  <c r="H388" i="5"/>
  <c r="I388"/>
  <c r="D17" i="4" s="1"/>
  <c r="D15" s="1"/>
  <c r="D47" s="1"/>
  <c r="L387" i="5"/>
  <c r="L386"/>
  <c r="L385"/>
  <c r="L384"/>
  <c r="L383"/>
  <c r="L382"/>
  <c r="L381"/>
  <c r="L380"/>
  <c r="L379"/>
  <c r="L378"/>
  <c r="L377"/>
  <c r="L376"/>
  <c r="L375"/>
  <c r="L374"/>
  <c r="C11" i="3"/>
  <c r="L363" i="5"/>
  <c r="L362"/>
  <c r="L361"/>
  <c r="L360"/>
  <c r="L359"/>
  <c r="L357"/>
  <c r="L356"/>
  <c r="L355"/>
  <c r="L354"/>
  <c r="L353"/>
  <c r="L352"/>
  <c r="L351"/>
  <c r="G16" i="4" s="1"/>
  <c r="L350" i="5"/>
  <c r="L349"/>
  <c r="L348"/>
  <c r="L347"/>
  <c r="L346"/>
  <c r="L345"/>
  <c r="L340"/>
  <c r="L339"/>
  <c r="L338"/>
  <c r="L337"/>
  <c r="L336"/>
  <c r="L335"/>
  <c r="L334"/>
  <c r="L332"/>
  <c r="L331"/>
  <c r="L330"/>
  <c r="L329"/>
  <c r="L328"/>
  <c r="L327"/>
  <c r="L326"/>
  <c r="L324"/>
  <c r="L323"/>
  <c r="L322"/>
  <c r="L321"/>
  <c r="L312"/>
  <c r="L311"/>
  <c r="L310"/>
  <c r="L309"/>
  <c r="L307"/>
  <c r="L306"/>
  <c r="L305"/>
  <c r="L304"/>
  <c r="L303"/>
  <c r="L302"/>
  <c r="L301"/>
  <c r="M295"/>
  <c r="H295"/>
  <c r="C10" i="3" s="1"/>
  <c r="L282" i="5"/>
  <c r="L279"/>
  <c r="L269"/>
  <c r="L265"/>
  <c r="L270"/>
  <c r="L268"/>
  <c r="L267"/>
  <c r="L266"/>
  <c r="L264"/>
  <c r="L263"/>
  <c r="L262"/>
  <c r="L261"/>
  <c r="L260"/>
  <c r="L259"/>
  <c r="L258"/>
  <c r="L257"/>
  <c r="L256"/>
  <c r="L272"/>
  <c r="L275"/>
  <c r="L276"/>
  <c r="L277"/>
  <c r="L278"/>
  <c r="L280"/>
  <c r="L281"/>
  <c r="L283"/>
  <c r="L284"/>
  <c r="L285"/>
  <c r="L286"/>
  <c r="L287"/>
  <c r="L288"/>
  <c r="M250"/>
  <c r="H250"/>
  <c r="L241"/>
  <c r="L240"/>
  <c r="L239"/>
  <c r="L238"/>
  <c r="L237"/>
  <c r="L236"/>
  <c r="L235"/>
  <c r="L234"/>
  <c r="L233"/>
  <c r="L232"/>
  <c r="L231"/>
  <c r="L230"/>
  <c r="L229"/>
  <c r="L220"/>
  <c r="L219"/>
  <c r="L68"/>
  <c r="L212"/>
  <c r="L211"/>
  <c r="L210"/>
  <c r="L209"/>
  <c r="L208"/>
  <c r="L205"/>
  <c r="L204"/>
  <c r="L201"/>
  <c r="L182"/>
  <c r="L185"/>
  <c r="L184"/>
  <c r="L183"/>
  <c r="L181"/>
  <c r="L180"/>
  <c r="L179"/>
  <c r="L178"/>
  <c r="L177"/>
  <c r="L176"/>
  <c r="L175"/>
  <c r="L174"/>
  <c r="L173"/>
  <c r="L191"/>
  <c r="L190"/>
  <c r="L189"/>
  <c r="L188"/>
  <c r="L187"/>
  <c r="L186"/>
  <c r="L167"/>
  <c r="G62" i="2" l="1"/>
  <c r="J27" i="8"/>
  <c r="J26" s="1"/>
  <c r="N343" i="5"/>
  <c r="N325"/>
  <c r="N128"/>
  <c r="N342"/>
  <c r="N203"/>
  <c r="N138"/>
  <c r="N243"/>
  <c r="N244"/>
  <c r="N308"/>
  <c r="N245"/>
  <c r="N89"/>
  <c r="N202"/>
  <c r="M365"/>
  <c r="F11" i="3"/>
  <c r="H11" s="1"/>
  <c r="H29" i="4"/>
  <c r="I12" i="2"/>
  <c r="H17" i="4"/>
  <c r="M388" i="5"/>
  <c r="C12" i="3"/>
  <c r="C17" i="4"/>
  <c r="D12" i="3"/>
  <c r="H10"/>
  <c r="L388" i="5"/>
  <c r="G17" i="4" s="1"/>
  <c r="H12" i="3"/>
  <c r="D50" i="2"/>
  <c r="H31" i="8" s="1"/>
  <c r="D12" i="2"/>
  <c r="H23"/>
  <c r="L163" i="5"/>
  <c r="L162"/>
  <c r="L161"/>
  <c r="L159"/>
  <c r="L156"/>
  <c r="L155"/>
  <c r="L154"/>
  <c r="L153"/>
  <c r="L152"/>
  <c r="L150"/>
  <c r="L148"/>
  <c r="L146"/>
  <c r="L145"/>
  <c r="L144"/>
  <c r="L143"/>
  <c r="L142"/>
  <c r="L141"/>
  <c r="L140"/>
  <c r="L139"/>
  <c r="L136"/>
  <c r="L135"/>
  <c r="L134"/>
  <c r="L133"/>
  <c r="L132"/>
  <c r="L131"/>
  <c r="L130"/>
  <c r="L129"/>
  <c r="L165"/>
  <c r="L149"/>
  <c r="L137"/>
  <c r="L114"/>
  <c r="L113"/>
  <c r="L112"/>
  <c r="L111"/>
  <c r="L118"/>
  <c r="L117"/>
  <c r="L116"/>
  <c r="L115"/>
  <c r="L121"/>
  <c r="L120"/>
  <c r="L119"/>
  <c r="L110"/>
  <c r="L124"/>
  <c r="L123"/>
  <c r="L122"/>
  <c r="L125"/>
  <c r="L80"/>
  <c r="D48" i="2" l="1"/>
  <c r="K31" i="8"/>
  <c r="L72" i="5"/>
  <c r="L85"/>
  <c r="L84"/>
  <c r="L83"/>
  <c r="L82"/>
  <c r="L90"/>
  <c r="L88"/>
  <c r="L87"/>
  <c r="L86"/>
  <c r="L94"/>
  <c r="L93"/>
  <c r="L92"/>
  <c r="L91"/>
  <c r="L98"/>
  <c r="L97"/>
  <c r="L96"/>
  <c r="L102"/>
  <c r="L101"/>
  <c r="L100"/>
  <c r="L99"/>
  <c r="L106"/>
  <c r="L105"/>
  <c r="L81"/>
  <c r="L78"/>
  <c r="L79"/>
  <c r="L56"/>
  <c r="L49"/>
  <c r="L74"/>
  <c r="L76"/>
  <c r="L75"/>
  <c r="L48"/>
  <c r="L47"/>
  <c r="L126" l="1"/>
  <c r="L109"/>
  <c r="L108"/>
  <c r="L107"/>
  <c r="L77"/>
  <c r="L73"/>
  <c r="L71"/>
  <c r="L65"/>
  <c r="L64"/>
  <c r="L63"/>
  <c r="L62"/>
  <c r="L67"/>
  <c r="L66"/>
  <c r="L69"/>
  <c r="L61"/>
  <c r="L70"/>
  <c r="L59"/>
  <c r="L58"/>
  <c r="L60"/>
  <c r="L41"/>
  <c r="L40"/>
  <c r="M34"/>
  <c r="H34"/>
  <c r="L21" l="1"/>
  <c r="L16"/>
  <c r="L15"/>
  <c r="L13"/>
  <c r="L12"/>
  <c r="L14"/>
  <c r="L17"/>
  <c r="L19"/>
  <c r="L20"/>
  <c r="L18"/>
  <c r="H80" i="1"/>
  <c r="H79"/>
  <c r="H77"/>
  <c r="H73"/>
  <c r="H64"/>
  <c r="H65"/>
  <c r="H66"/>
  <c r="H49"/>
  <c r="D42" l="1"/>
  <c r="H43"/>
  <c r="J44" i="8"/>
  <c r="H44"/>
  <c r="K44" l="1"/>
  <c r="H40"/>
  <c r="K40" s="1"/>
  <c r="J29"/>
  <c r="J33" s="1"/>
  <c r="D90" i="1" l="1"/>
  <c r="I74"/>
  <c r="I69"/>
  <c r="D69"/>
  <c r="I67"/>
  <c r="D67"/>
  <c r="I55"/>
  <c r="D55"/>
  <c r="I50"/>
  <c r="D50"/>
  <c r="I47"/>
  <c r="I45"/>
  <c r="D45"/>
  <c r="I42"/>
  <c r="I38"/>
  <c r="D38"/>
  <c r="I35"/>
  <c r="D35"/>
  <c r="I31"/>
  <c r="D31"/>
  <c r="H21" i="8" s="1"/>
  <c r="I23" i="1"/>
  <c r="D23"/>
  <c r="H20" i="8" s="1"/>
  <c r="I21" i="1"/>
  <c r="D21"/>
  <c r="I18"/>
  <c r="I12"/>
  <c r="D12"/>
  <c r="D10"/>
  <c r="I7"/>
  <c r="D7"/>
  <c r="H40"/>
  <c r="K21" i="8" l="1"/>
  <c r="K20"/>
  <c r="I89" i="1"/>
  <c r="I90"/>
  <c r="D6"/>
  <c r="D37"/>
  <c r="H23" i="8" s="1"/>
  <c r="I71" i="1"/>
  <c r="I72"/>
  <c r="H22" i="8"/>
  <c r="H25"/>
  <c r="I81" i="1"/>
  <c r="I37"/>
  <c r="K23" i="8" l="1"/>
  <c r="D87" i="1"/>
  <c r="K24" i="8"/>
  <c r="K25"/>
  <c r="I6" i="1"/>
  <c r="H6"/>
  <c r="H72"/>
  <c r="H19" i="8"/>
  <c r="H19" i="4"/>
  <c r="I87" i="1" l="1"/>
  <c r="H18" i="8"/>
  <c r="H8" i="1"/>
  <c r="H11"/>
  <c r="H13"/>
  <c r="H14"/>
  <c r="H15"/>
  <c r="H16"/>
  <c r="H17"/>
  <c r="H19"/>
  <c r="H20"/>
  <c r="H22"/>
  <c r="H24"/>
  <c r="H25"/>
  <c r="H26"/>
  <c r="H27"/>
  <c r="H28"/>
  <c r="H29"/>
  <c r="H30"/>
  <c r="H32"/>
  <c r="H33"/>
  <c r="H34"/>
  <c r="H36"/>
  <c r="H39"/>
  <c r="H41"/>
  <c r="H44"/>
  <c r="H46"/>
  <c r="H48"/>
  <c r="H51"/>
  <c r="H52"/>
  <c r="H53"/>
  <c r="H54"/>
  <c r="H56"/>
  <c r="H57"/>
  <c r="H58"/>
  <c r="H59"/>
  <c r="H60"/>
  <c r="H61"/>
  <c r="H62"/>
  <c r="H63"/>
  <c r="H68"/>
  <c r="H70"/>
  <c r="H75"/>
  <c r="H76"/>
  <c r="H78"/>
  <c r="H85"/>
  <c r="H86"/>
  <c r="H91"/>
  <c r="L55" i="5"/>
  <c r="E50" i="2" l="1"/>
  <c r="I50" l="1"/>
  <c r="I54"/>
  <c r="D11" i="3"/>
  <c r="D10"/>
  <c r="I223" i="5"/>
  <c r="M223"/>
  <c r="H223"/>
  <c r="H390" s="1"/>
  <c r="M168"/>
  <c r="I390" l="1"/>
  <c r="N158"/>
  <c r="H15" i="4"/>
  <c r="G27"/>
  <c r="L294" i="5"/>
  <c r="L292"/>
  <c r="L291"/>
  <c r="N104" l="1"/>
  <c r="N157"/>
  <c r="N246"/>
  <c r="N103"/>
  <c r="N95"/>
  <c r="N364"/>
  <c r="N341"/>
  <c r="N206"/>
  <c r="N207"/>
  <c r="N11"/>
  <c r="N274"/>
  <c r="N273"/>
  <c r="H5" i="4" l="1"/>
  <c r="L222" i="5"/>
  <c r="H67" i="1" l="1"/>
  <c r="H18" l="1"/>
  <c r="G10" i="3" l="1"/>
  <c r="G44" i="4"/>
  <c r="L23" i="5"/>
  <c r="L24"/>
  <c r="L25"/>
  <c r="L26"/>
  <c r="L27"/>
  <c r="L28"/>
  <c r="L29"/>
  <c r="L30"/>
  <c r="L31"/>
  <c r="L32"/>
  <c r="L33"/>
  <c r="L39"/>
  <c r="L42"/>
  <c r="L43"/>
  <c r="L44"/>
  <c r="L45"/>
  <c r="L46"/>
  <c r="L50"/>
  <c r="L51"/>
  <c r="L52"/>
  <c r="L53"/>
  <c r="L54"/>
  <c r="L57"/>
  <c r="L192"/>
  <c r="L193"/>
  <c r="L194"/>
  <c r="L195"/>
  <c r="L196"/>
  <c r="L197"/>
  <c r="L198"/>
  <c r="L199"/>
  <c r="L200"/>
  <c r="L213"/>
  <c r="L214"/>
  <c r="L215"/>
  <c r="L216"/>
  <c r="L217"/>
  <c r="L218"/>
  <c r="L221"/>
  <c r="L242"/>
  <c r="L247"/>
  <c r="L248"/>
  <c r="L249"/>
  <c r="L271"/>
  <c r="L289"/>
  <c r="L290"/>
  <c r="L293"/>
  <c r="L313"/>
  <c r="L314"/>
  <c r="L315"/>
  <c r="L316"/>
  <c r="L317"/>
  <c r="L318"/>
  <c r="L319"/>
  <c r="L320"/>
  <c r="L344"/>
  <c r="L22"/>
  <c r="K22" i="8" l="1"/>
  <c r="D89" i="1"/>
  <c r="D88" s="1"/>
  <c r="H69"/>
  <c r="D99" l="1"/>
  <c r="H30" i="8"/>
  <c r="H32" s="1"/>
  <c r="K19"/>
  <c r="K30" l="1"/>
  <c r="J46"/>
  <c r="K18"/>
  <c r="G35" i="4"/>
  <c r="E60" i="2"/>
  <c r="E56"/>
  <c r="E48" s="1"/>
  <c r="E42" l="1"/>
  <c r="L365" i="5"/>
  <c r="L295"/>
  <c r="D9" i="3"/>
  <c r="L250" i="5"/>
  <c r="D8" i="3"/>
  <c r="D7"/>
  <c r="L168" i="5"/>
  <c r="D6" i="3" l="1"/>
  <c r="E33" i="2"/>
  <c r="E21"/>
  <c r="H90" i="1"/>
  <c r="H74"/>
  <c r="H55"/>
  <c r="H50"/>
  <c r="H47"/>
  <c r="H45"/>
  <c r="H42"/>
  <c r="H38"/>
  <c r="H35"/>
  <c r="H31"/>
  <c r="H23"/>
  <c r="H21"/>
  <c r="H12"/>
  <c r="H10"/>
  <c r="H7"/>
  <c r="E10" i="2" l="1"/>
  <c r="E62" s="1"/>
  <c r="H71" i="1"/>
  <c r="H81"/>
  <c r="D13" i="3"/>
  <c r="I88" i="1" l="1"/>
  <c r="H45" i="2"/>
  <c r="L223" i="5"/>
  <c r="H19" i="2"/>
  <c r="H53" l="1"/>
  <c r="G26" i="4"/>
  <c r="G25"/>
  <c r="L34" i="5"/>
  <c r="N388" l="1"/>
  <c r="N380"/>
  <c r="N386"/>
  <c r="N383"/>
  <c r="N378"/>
  <c r="N375"/>
  <c r="N385"/>
  <c r="N382"/>
  <c r="N379"/>
  <c r="N377"/>
  <c r="N374"/>
  <c r="N387"/>
  <c r="N384"/>
  <c r="N381"/>
  <c r="N376"/>
  <c r="N361"/>
  <c r="N363"/>
  <c r="N360"/>
  <c r="N362"/>
  <c r="N359"/>
  <c r="N355"/>
  <c r="N352"/>
  <c r="N357"/>
  <c r="N354"/>
  <c r="N351"/>
  <c r="N356"/>
  <c r="N353"/>
  <c r="N348"/>
  <c r="N350"/>
  <c r="N347"/>
  <c r="N345"/>
  <c r="N349"/>
  <c r="N346"/>
  <c r="N330"/>
  <c r="N340"/>
  <c r="N337"/>
  <c r="N335"/>
  <c r="N331"/>
  <c r="N334"/>
  <c r="N336"/>
  <c r="N339"/>
  <c r="N338"/>
  <c r="N332"/>
  <c r="N327"/>
  <c r="N323"/>
  <c r="N329"/>
  <c r="N326"/>
  <c r="N322"/>
  <c r="N328"/>
  <c r="N324"/>
  <c r="N321"/>
  <c r="N282"/>
  <c r="N312"/>
  <c r="N307"/>
  <c r="N305"/>
  <c r="N302"/>
  <c r="N311"/>
  <c r="N306"/>
  <c r="N304"/>
  <c r="N301"/>
  <c r="N309"/>
  <c r="N310"/>
  <c r="N303"/>
  <c r="N279"/>
  <c r="N265"/>
  <c r="N269"/>
  <c r="N270"/>
  <c r="N266"/>
  <c r="N262"/>
  <c r="N260"/>
  <c r="N257"/>
  <c r="N268"/>
  <c r="N259"/>
  <c r="N275"/>
  <c r="N278"/>
  <c r="N281"/>
  <c r="N285"/>
  <c r="N288"/>
  <c r="N264"/>
  <c r="N256"/>
  <c r="N276"/>
  <c r="N283"/>
  <c r="N286"/>
  <c r="N267"/>
  <c r="N263"/>
  <c r="N258"/>
  <c r="N272"/>
  <c r="N277"/>
  <c r="N280"/>
  <c r="N284"/>
  <c r="N287"/>
  <c r="N261"/>
  <c r="N198"/>
  <c r="N231"/>
  <c r="N240"/>
  <c r="N235"/>
  <c r="N233"/>
  <c r="N230"/>
  <c r="N199"/>
  <c r="N241"/>
  <c r="N239"/>
  <c r="N237"/>
  <c r="N234"/>
  <c r="N232"/>
  <c r="N229"/>
  <c r="N236"/>
  <c r="N197"/>
  <c r="N238"/>
  <c r="N68"/>
  <c r="N220"/>
  <c r="N219"/>
  <c r="N182"/>
  <c r="N210"/>
  <c r="N205"/>
  <c r="N212"/>
  <c r="N209"/>
  <c r="N204"/>
  <c r="N211"/>
  <c r="N208"/>
  <c r="N201"/>
  <c r="N184"/>
  <c r="N181"/>
  <c r="N183"/>
  <c r="N185"/>
  <c r="N178"/>
  <c r="N176"/>
  <c r="N173"/>
  <c r="N180"/>
  <c r="N175"/>
  <c r="N179"/>
  <c r="N177"/>
  <c r="N174"/>
  <c r="N189"/>
  <c r="N191"/>
  <c r="N188"/>
  <c r="N190"/>
  <c r="N186"/>
  <c r="N187"/>
  <c r="N167"/>
  <c r="N163"/>
  <c r="N159"/>
  <c r="N154"/>
  <c r="N152"/>
  <c r="N162"/>
  <c r="N156"/>
  <c r="N153"/>
  <c r="N150"/>
  <c r="N161"/>
  <c r="N155"/>
  <c r="N148"/>
  <c r="N143"/>
  <c r="N145"/>
  <c r="N139"/>
  <c r="N144"/>
  <c r="N141"/>
  <c r="N146"/>
  <c r="N140"/>
  <c r="N142"/>
  <c r="N136"/>
  <c r="N133"/>
  <c r="N130"/>
  <c r="N131"/>
  <c r="N135"/>
  <c r="N132"/>
  <c r="N129"/>
  <c r="N134"/>
  <c r="N149"/>
  <c r="N165"/>
  <c r="N137"/>
  <c r="N112"/>
  <c r="N114"/>
  <c r="N113"/>
  <c r="N111"/>
  <c r="N118"/>
  <c r="N117"/>
  <c r="N116"/>
  <c r="N115"/>
  <c r="N119"/>
  <c r="N121"/>
  <c r="N110"/>
  <c r="N120"/>
  <c r="N124"/>
  <c r="N122"/>
  <c r="N123"/>
  <c r="N125"/>
  <c r="N80"/>
  <c r="N72"/>
  <c r="N85"/>
  <c r="N83"/>
  <c r="N82"/>
  <c r="N84"/>
  <c r="N90"/>
  <c r="N87"/>
  <c r="N88"/>
  <c r="N86"/>
  <c r="N92"/>
  <c r="N91"/>
  <c r="N94"/>
  <c r="N93"/>
  <c r="N98"/>
  <c r="N96"/>
  <c r="N97"/>
  <c r="N101"/>
  <c r="N100"/>
  <c r="N102"/>
  <c r="N99"/>
  <c r="N78"/>
  <c r="N81"/>
  <c r="N105"/>
  <c r="N106"/>
  <c r="N56"/>
  <c r="N79"/>
  <c r="N74"/>
  <c r="N49"/>
  <c r="N76"/>
  <c r="N75"/>
  <c r="N47"/>
  <c r="N48"/>
  <c r="N109"/>
  <c r="N77"/>
  <c r="N108"/>
  <c r="N73"/>
  <c r="N126"/>
  <c r="N107"/>
  <c r="N71"/>
  <c r="N67"/>
  <c r="N63"/>
  <c r="N65"/>
  <c r="N62"/>
  <c r="N64"/>
  <c r="N69"/>
  <c r="N66"/>
  <c r="N70"/>
  <c r="N61"/>
  <c r="N58"/>
  <c r="N59"/>
  <c r="N41"/>
  <c r="N60"/>
  <c r="N21"/>
  <c r="N40"/>
  <c r="N16"/>
  <c r="N13"/>
  <c r="N15"/>
  <c r="N14"/>
  <c r="N12"/>
  <c r="N17"/>
  <c r="N19"/>
  <c r="N18"/>
  <c r="N20"/>
  <c r="N42"/>
  <c r="N43"/>
  <c r="N55"/>
  <c r="N294"/>
  <c r="N292"/>
  <c r="N291"/>
  <c r="N222"/>
  <c r="N390"/>
  <c r="L390"/>
  <c r="N218"/>
  <c r="G20" i="4"/>
  <c r="G37" l="1"/>
  <c r="G30"/>
  <c r="G21"/>
  <c r="G45"/>
  <c r="H52" i="2"/>
  <c r="G40" i="4"/>
  <c r="G22" l="1"/>
  <c r="H58" i="2" l="1"/>
  <c r="I58"/>
  <c r="I56"/>
  <c r="F9" i="3"/>
  <c r="H9" s="1"/>
  <c r="F8"/>
  <c r="H8" s="1"/>
  <c r="F7"/>
  <c r="H89" i="1"/>
  <c r="I60" i="2"/>
  <c r="G29" i="4"/>
  <c r="H15" i="2"/>
  <c r="H14"/>
  <c r="C9" i="3"/>
  <c r="C8"/>
  <c r="C6"/>
  <c r="H7" l="1"/>
  <c r="F13"/>
  <c r="H6"/>
  <c r="G6"/>
  <c r="H37" i="2"/>
  <c r="H54"/>
  <c r="G41" i="4"/>
  <c r="G36"/>
  <c r="G46"/>
  <c r="H44" i="2"/>
  <c r="D60"/>
  <c r="H28" i="8" s="1"/>
  <c r="H61" i="2"/>
  <c r="H38"/>
  <c r="H35"/>
  <c r="H28"/>
  <c r="G8" i="3"/>
  <c r="G7"/>
  <c r="G9"/>
  <c r="H29" i="2"/>
  <c r="H31"/>
  <c r="H36"/>
  <c r="H56"/>
  <c r="H37" i="1"/>
  <c r="C19" i="4"/>
  <c r="N295" i="5"/>
  <c r="C15" i="4"/>
  <c r="G15" s="1"/>
  <c r="C24"/>
  <c r="G24" s="1"/>
  <c r="C5"/>
  <c r="G5" s="1"/>
  <c r="H88" i="1"/>
  <c r="C33" i="4"/>
  <c r="C39"/>
  <c r="C43"/>
  <c r="C11"/>
  <c r="G11" s="1"/>
  <c r="I42" i="2"/>
  <c r="H47" i="4" l="1"/>
  <c r="H43"/>
  <c r="C47"/>
  <c r="H60" i="2"/>
  <c r="K28" i="8"/>
  <c r="G33" i="4"/>
  <c r="G39"/>
  <c r="G43"/>
  <c r="G19"/>
  <c r="H25" i="2"/>
  <c r="H30"/>
  <c r="H39"/>
  <c r="H27"/>
  <c r="H40"/>
  <c r="G11" i="3"/>
  <c r="H24" i="2"/>
  <c r="G12" i="3"/>
  <c r="H26" i="2"/>
  <c r="H87" i="1"/>
  <c r="N193" i="5"/>
  <c r="N313"/>
  <c r="N242"/>
  <c r="N215"/>
  <c r="N293"/>
  <c r="N320"/>
  <c r="N319"/>
  <c r="N31"/>
  <c r="N28"/>
  <c r="N27"/>
  <c r="N223"/>
  <c r="N216"/>
  <c r="N25"/>
  <c r="N26"/>
  <c r="N194"/>
  <c r="N314"/>
  <c r="N289"/>
  <c r="N217"/>
  <c r="N34"/>
  <c r="N192"/>
  <c r="I33" i="2"/>
  <c r="N54" i="5"/>
  <c r="N51"/>
  <c r="D42" i="2"/>
  <c r="H42" s="1"/>
  <c r="D21"/>
  <c r="N24" i="5"/>
  <c r="N315"/>
  <c r="N44"/>
  <c r="N45"/>
  <c r="N57"/>
  <c r="N22"/>
  <c r="N214"/>
  <c r="N53"/>
  <c r="N318"/>
  <c r="N249"/>
  <c r="N50"/>
  <c r="N317"/>
  <c r="N248"/>
  <c r="N196"/>
  <c r="N46"/>
  <c r="N29"/>
  <c r="N271"/>
  <c r="N30"/>
  <c r="N290"/>
  <c r="N250"/>
  <c r="N221"/>
  <c r="N168"/>
  <c r="N39"/>
  <c r="N23"/>
  <c r="N365"/>
  <c r="N213"/>
  <c r="N32"/>
  <c r="N344"/>
  <c r="N200"/>
  <c r="N52"/>
  <c r="N33"/>
  <c r="N316"/>
  <c r="N247"/>
  <c r="N195"/>
  <c r="D33" i="2"/>
  <c r="C13" i="3"/>
  <c r="H13" l="1"/>
  <c r="I6"/>
  <c r="I21" i="2"/>
  <c r="D10"/>
  <c r="H27" i="8" s="1"/>
  <c r="H26" s="1"/>
  <c r="H29" s="1"/>
  <c r="H33" s="1"/>
  <c r="G47" i="4"/>
  <c r="H50" i="2"/>
  <c r="H12"/>
  <c r="H33"/>
  <c r="H17"/>
  <c r="H21"/>
  <c r="G13" i="3"/>
  <c r="I9"/>
  <c r="I21" i="4"/>
  <c r="I12"/>
  <c r="I10" i="3"/>
  <c r="I11"/>
  <c r="I8"/>
  <c r="I12"/>
  <c r="I13"/>
  <c r="I7"/>
  <c r="I6" i="4"/>
  <c r="I41"/>
  <c r="I35"/>
  <c r="I8"/>
  <c r="I16"/>
  <c r="I27"/>
  <c r="I33"/>
  <c r="I24"/>
  <c r="I46"/>
  <c r="I25"/>
  <c r="I15"/>
  <c r="I45"/>
  <c r="I37"/>
  <c r="I17"/>
  <c r="I34"/>
  <c r="I26"/>
  <c r="I39"/>
  <c r="I19"/>
  <c r="I30"/>
  <c r="I36"/>
  <c r="I9"/>
  <c r="I13"/>
  <c r="I40"/>
  <c r="I20"/>
  <c r="I47"/>
  <c r="I5"/>
  <c r="I43"/>
  <c r="I44"/>
  <c r="I7"/>
  <c r="I22"/>
  <c r="I11"/>
  <c r="I29"/>
  <c r="J80" i="1" l="1"/>
  <c r="I99"/>
  <c r="J6"/>
  <c r="H10" i="2"/>
  <c r="I10"/>
  <c r="H48"/>
  <c r="I48"/>
  <c r="K26" i="8"/>
  <c r="K27"/>
  <c r="K32"/>
  <c r="J77" i="1"/>
  <c r="J79"/>
  <c r="J72"/>
  <c r="J73"/>
  <c r="J64"/>
  <c r="J65"/>
  <c r="J49"/>
  <c r="J66"/>
  <c r="J43"/>
  <c r="J40"/>
  <c r="H99"/>
  <c r="J20"/>
  <c r="J87"/>
  <c r="J9"/>
  <c r="J11"/>
  <c r="J14"/>
  <c r="J22"/>
  <c r="J26"/>
  <c r="J30"/>
  <c r="J34"/>
  <c r="J37"/>
  <c r="J41"/>
  <c r="J46"/>
  <c r="J48"/>
  <c r="J51"/>
  <c r="J53"/>
  <c r="J57"/>
  <c r="J61"/>
  <c r="J74"/>
  <c r="J90"/>
  <c r="J10"/>
  <c r="J13"/>
  <c r="J17"/>
  <c r="J21"/>
  <c r="J29"/>
  <c r="J45"/>
  <c r="J50"/>
  <c r="J60"/>
  <c r="J78"/>
  <c r="J86"/>
  <c r="J19"/>
  <c r="J28"/>
  <c r="J36"/>
  <c r="J44"/>
  <c r="J59"/>
  <c r="J68"/>
  <c r="J76"/>
  <c r="J85"/>
  <c r="J7"/>
  <c r="J15"/>
  <c r="J18"/>
  <c r="J23"/>
  <c r="J27"/>
  <c r="J31"/>
  <c r="J35"/>
  <c r="J38"/>
  <c r="J42"/>
  <c r="J54"/>
  <c r="J58"/>
  <c r="J62"/>
  <c r="J67"/>
  <c r="J69"/>
  <c r="J75"/>
  <c r="J91"/>
  <c r="J99"/>
  <c r="J25"/>
  <c r="J33"/>
  <c r="J47"/>
  <c r="J56"/>
  <c r="J81"/>
  <c r="J89"/>
  <c r="J8"/>
  <c r="J12"/>
  <c r="J16"/>
  <c r="J24"/>
  <c r="J32"/>
  <c r="J39"/>
  <c r="J52"/>
  <c r="J55"/>
  <c r="J63"/>
  <c r="J70"/>
  <c r="J88"/>
  <c r="J71"/>
  <c r="D62" i="2"/>
  <c r="J48" l="1"/>
  <c r="I62"/>
  <c r="J37"/>
  <c r="J23"/>
  <c r="K29" i="8"/>
  <c r="J15" i="2"/>
  <c r="J19"/>
  <c r="J27"/>
  <c r="J29"/>
  <c r="J33"/>
  <c r="J38"/>
  <c r="J42"/>
  <c r="J45"/>
  <c r="J50"/>
  <c r="J14"/>
  <c r="J24"/>
  <c r="J25"/>
  <c r="J30"/>
  <c r="J58"/>
  <c r="J62"/>
  <c r="J35"/>
  <c r="J44"/>
  <c r="J52"/>
  <c r="J54"/>
  <c r="J60"/>
  <c r="J17"/>
  <c r="J39"/>
  <c r="J53"/>
  <c r="J56"/>
  <c r="J61"/>
  <c r="H62"/>
  <c r="J12"/>
  <c r="J26"/>
  <c r="J28"/>
  <c r="J36"/>
  <c r="J40"/>
  <c r="J31"/>
  <c r="J21"/>
  <c r="J10"/>
  <c r="K33" i="8" l="1"/>
  <c r="H46" l="1"/>
</calcChain>
</file>

<file path=xl/sharedStrings.xml><?xml version="1.0" encoding="utf-8"?>
<sst xmlns="http://schemas.openxmlformats.org/spreadsheetml/2006/main" count="2471" uniqueCount="607">
  <si>
    <t>u KM</t>
  </si>
  <si>
    <t>Vrsta 
prihoda</t>
  </si>
  <si>
    <t>OPIS VRSTE PRIHODA</t>
  </si>
  <si>
    <t>%
 učešća</t>
  </si>
  <si>
    <t>I - PRIHODI OD POREZA</t>
  </si>
  <si>
    <t>Porez na dobit pojedinca (zaostale uplate poreza)</t>
  </si>
  <si>
    <t>Porez na dobit od privredne i profesionalne djelatnosti</t>
  </si>
  <si>
    <t>Porez na osnovu autorskih prava, patenata i tehničkih napređenja</t>
  </si>
  <si>
    <t>Porezi na plaće (zaostale uplate poreza)</t>
  </si>
  <si>
    <t xml:space="preserve">Porez na plaću i druga lična primanja </t>
  </si>
  <si>
    <t>Porez na imovinu</t>
  </si>
  <si>
    <t>Porez na imovinu od fizičkih lica</t>
  </si>
  <si>
    <t>Porez na imovinu od pravnih lica</t>
  </si>
  <si>
    <t>Porez na imovinu  za motorna vozila</t>
  </si>
  <si>
    <t>Porez na nasljeđe i darove</t>
  </si>
  <si>
    <t>Porez na promet nepokretnosti  - fizičkih lica</t>
  </si>
  <si>
    <t>Porezi na prodaju dobara i usl.,ukupni promet ili dodanu vr.</t>
  </si>
  <si>
    <t xml:space="preserve">Porez na promet proizvoda iz čl. 12. Zakona o PPP i usluga osim proizvoda iz čl.12.stav 1. tač.1.,2., 4., 12., 13., i 16.,  </t>
  </si>
  <si>
    <t>Ostali porezi na promet proizvoda i usl. (zaostale obaveze)</t>
  </si>
  <si>
    <t>Prihodi od poreza na dohodak fizičkih lica od nesamostalne djelatnosti</t>
  </si>
  <si>
    <t>Prihodi od poreza na dohodak fizičkih lica od samostalne djelatnosti</t>
  </si>
  <si>
    <t>Prihodi od poreza na dohodak fizičkih lica od imovine i imovinskih prava</t>
  </si>
  <si>
    <t>Prihodi od poreza na doh. fizičkih lica od ulaganja kapitala</t>
  </si>
  <si>
    <t>Prihodi od poreza na dohodak fizičkih lica na dobitke od nagradnih igara i igara na sreću</t>
  </si>
  <si>
    <t xml:space="preserve">Prihodi od poreza na dohodak od drugih samos. djel. iz čl.12. st.4.  Zakona o porezu na dohodak </t>
  </si>
  <si>
    <t>Prihodi od poreza na dohodak po konačnom obračunu</t>
  </si>
  <si>
    <t xml:space="preserve">Prihodi od indirektnih poreza </t>
  </si>
  <si>
    <t>Ostali porezi</t>
  </si>
  <si>
    <t>Poseban porez na plaću za zašt. od prir. i drugih nes. (zaost. obav.)</t>
  </si>
  <si>
    <t>II - NEPOREZNI PRIHODI</t>
  </si>
  <si>
    <t>Prihodi od nefinan. javnih preduzeća i finans. javnih institucija</t>
  </si>
  <si>
    <t>Prihodi od davanja prava na ekspl. prir. resursa</t>
  </si>
  <si>
    <t>Prihodi od iznajmljivanja zemljišta</t>
  </si>
  <si>
    <t>Ostali prihodi od imovine</t>
  </si>
  <si>
    <t>Prihodi od zakupa korištenja sportsko-privrednih lovišta</t>
  </si>
  <si>
    <t>Administrativne takse</t>
  </si>
  <si>
    <t>Općinske administrativne takse</t>
  </si>
  <si>
    <t>Komunalne naknade i takse</t>
  </si>
  <si>
    <t xml:space="preserve">Općinske komunalne takse </t>
  </si>
  <si>
    <t>Ostale budžetske naknade i takse</t>
  </si>
  <si>
    <t>Naknada za uređenje građevinskog zemljišta</t>
  </si>
  <si>
    <t>Naknada po osnovi prirodnih pogodnosti - Renta</t>
  </si>
  <si>
    <t>Naknada za izgradnju i održavanje javnih skloništa</t>
  </si>
  <si>
    <t>Naknada za korištenje državnih šuma utvrđena kanton. propisima</t>
  </si>
  <si>
    <t>Nakn. i takse po Federalnim zakonima i drugim propisima</t>
  </si>
  <si>
    <t xml:space="preserve">Naknade za korištenje podataka premjera i katastra </t>
  </si>
  <si>
    <t>Naknade za vršenje usluga iz oblasti premjera  i katastra</t>
  </si>
  <si>
    <t>Naknade za upotrebu cesta za vozila pravnih lica</t>
  </si>
  <si>
    <t>Naknade za uptrebu cesta za vozila građana</t>
  </si>
  <si>
    <t>Posebna naknada za zaštitu od prirodnih i drugih nesreća gdje je osnovica zbirni iznos neto plaća</t>
  </si>
  <si>
    <t>Posebna naknada za zašt. od prir. i drugih nesr. gdje je osnovica zbirni iznos neto primitaka po osnovu druge samost. dje. i povr. samost. rada</t>
  </si>
  <si>
    <t>Naknada za vatrog. jed. iz premije osig. imov. od požara i prir. sila</t>
  </si>
  <si>
    <t>Naknada iz funkc. premije osig. motornih vozila za vatr. jed.</t>
  </si>
  <si>
    <t>Neplanirane uplate-prihodi</t>
  </si>
  <si>
    <t>Ostali povrati</t>
  </si>
  <si>
    <t>Novčane kazne</t>
  </si>
  <si>
    <t>Novčane kazne po općinskim propisima</t>
  </si>
  <si>
    <t>III - TEKUĆE TRANSFERI (TRANSFERI I DONACIJE)</t>
  </si>
  <si>
    <t>Primljeni tekući transferi od ostalih razina vlasti</t>
  </si>
  <si>
    <t>Primljeni tekući transferi od Federacije</t>
  </si>
  <si>
    <t>Primljeni tekući transferi od Kantona</t>
  </si>
  <si>
    <t>Kapitalni transferi od ostalih nivoa vlasti i fondova</t>
  </si>
  <si>
    <t>Primljeni kapitalni transferi od Federacije</t>
  </si>
  <si>
    <t>Primljeni kapitalni transferi od Kantona</t>
  </si>
  <si>
    <t>B - KAPITALNI PRIMICI</t>
  </si>
  <si>
    <t>Primici od prodaje stalnih sredstava</t>
  </si>
  <si>
    <t>Primici od prodaje zemljišta</t>
  </si>
  <si>
    <t>Primljene otplate od pozajmljivanja pojed. i nepr. org.</t>
  </si>
  <si>
    <t>Otplate od pozajmljivanja pojedincima - studentski krediti</t>
  </si>
  <si>
    <t>UKUPNO PRIHODI I PRIMICI (A + B)</t>
  </si>
  <si>
    <t>Ekonom.
 kod</t>
  </si>
  <si>
    <t>I - TEKUĆI RASHODI</t>
  </si>
  <si>
    <t>BRUTO PLAĆE I NAKNADE PLAĆA</t>
  </si>
  <si>
    <t xml:space="preserve">Plaće i naknade plaće po umanjenju doprinosa </t>
  </si>
  <si>
    <t xml:space="preserve">Naknade troškova zaposlenih </t>
  </si>
  <si>
    <t>Regres za godišnji odmor</t>
  </si>
  <si>
    <t>DOPRINOSI POSLODAVCA I OSTALI DOPRINOSI</t>
  </si>
  <si>
    <t>Doprinosi poslodavca</t>
  </si>
  <si>
    <t>IZDACI ZA MATERIJAL, SITAN INVENTAR I USLUGE</t>
  </si>
  <si>
    <t>Putni troškovi</t>
  </si>
  <si>
    <t>Izdaci za energiju</t>
  </si>
  <si>
    <t>Izdaci za električnu energiju</t>
  </si>
  <si>
    <t>Izdaci za centralno grijanje</t>
  </si>
  <si>
    <t>Izdaci za komunikaciju i komunalne usluge</t>
  </si>
  <si>
    <t>Izdaci za vodu i kanalizaciju</t>
  </si>
  <si>
    <t>Nabavka materijala i sitnog inventara</t>
  </si>
  <si>
    <t>Kancelarijski materijal</t>
  </si>
  <si>
    <t>Materijal za čišćenje</t>
  </si>
  <si>
    <t>Izdaci za usluge prijevoza i goriva</t>
  </si>
  <si>
    <t>Registracija motornih vozila</t>
  </si>
  <si>
    <t>Unajmljivanje imovine, opreme i nematerijalne imovine</t>
  </si>
  <si>
    <t>Izdaci za tekuće održavanje</t>
  </si>
  <si>
    <t>Izdaci osiguranja, bankarskih usluga i usluga platnog prometa</t>
  </si>
  <si>
    <t>Osiguranje vozila</t>
  </si>
  <si>
    <t>Ugovorene i druge posebne usluge</t>
  </si>
  <si>
    <t>Usluge medija</t>
  </si>
  <si>
    <t>Usluge reprezentacije</t>
  </si>
  <si>
    <t>TEKUĆI TRANSFERI I DRUGI TEKUĆI RASHODI</t>
  </si>
  <si>
    <t>Tekući transferi drugim nivoima vlasti</t>
  </si>
  <si>
    <t>Tekući transferi pojedincima</t>
  </si>
  <si>
    <t>Tekući transferi neprofitnim organizacijama</t>
  </si>
  <si>
    <t>Subvencije javnim preduzećima</t>
  </si>
  <si>
    <t>Subvencije privatnim preduzećima i poduzetnicima</t>
  </si>
  <si>
    <t>Drugi tekući rashodi</t>
  </si>
  <si>
    <t>KAPITALNI TRANSFERI</t>
  </si>
  <si>
    <t>Kapitalni transferi drugim nivoima vlasti i fondovima</t>
  </si>
  <si>
    <t>II - KAPITALNI IZDACI</t>
  </si>
  <si>
    <t>Nabavka zemljišta</t>
  </si>
  <si>
    <t>Nabavka građevina</t>
  </si>
  <si>
    <t>Nabavka opreme</t>
  </si>
  <si>
    <t>III - TEKUĆA REZERVA</t>
  </si>
  <si>
    <t>Tekuća rezerva</t>
  </si>
  <si>
    <t>UKUPNO: I + II +III</t>
  </si>
  <si>
    <t>Funkc.
 kod</t>
  </si>
  <si>
    <t>0100</t>
  </si>
  <si>
    <t>OPĆE JAVNE USLUGE</t>
  </si>
  <si>
    <t>0111</t>
  </si>
  <si>
    <t>Izvršni i zakonodavni organi</t>
  </si>
  <si>
    <t>0112</t>
  </si>
  <si>
    <t>Finansijski i fiskalni poslovi</t>
  </si>
  <si>
    <t>Ostale opće usluge</t>
  </si>
  <si>
    <t>0161</t>
  </si>
  <si>
    <t>Opće javne službe</t>
  </si>
  <si>
    <t>0200</t>
  </si>
  <si>
    <t>ODBRANA</t>
  </si>
  <si>
    <t>Civilna odbrana</t>
  </si>
  <si>
    <t>0251</t>
  </si>
  <si>
    <t>Zaštita od prirodne nepogode</t>
  </si>
  <si>
    <t>0300</t>
  </si>
  <si>
    <t>JAVNI RED I SIGURNOST</t>
  </si>
  <si>
    <t>0321</t>
  </si>
  <si>
    <t>Usluge vatrogasne zaštite</t>
  </si>
  <si>
    <t>0400</t>
  </si>
  <si>
    <t>EKONOMSKI POSLOVI</t>
  </si>
  <si>
    <t>0421</t>
  </si>
  <si>
    <t>Poljoprivreda</t>
  </si>
  <si>
    <t>Izgradnja</t>
  </si>
  <si>
    <t>0600</t>
  </si>
  <si>
    <t>KOMUNALNI POSLOVI</t>
  </si>
  <si>
    <t>0631</t>
  </si>
  <si>
    <t>Vodosnabdijevanje</t>
  </si>
  <si>
    <t>Ulična rasvjeta</t>
  </si>
  <si>
    <t>0700</t>
  </si>
  <si>
    <t>ZDRAVSTVO</t>
  </si>
  <si>
    <t>0800</t>
  </si>
  <si>
    <t>REKREACIJA, KULTURA  I RELIGIJA</t>
  </si>
  <si>
    <t>Usluge sporta i rekreacije</t>
  </si>
  <si>
    <t>Usluge kulture</t>
  </si>
  <si>
    <t>Usluge emitovanja i izdavalaštva</t>
  </si>
  <si>
    <t>Religijske i druge zajedničke usluge</t>
  </si>
  <si>
    <t>0900</t>
  </si>
  <si>
    <t>OBRAZOVANJE</t>
  </si>
  <si>
    <t>0911</t>
  </si>
  <si>
    <t>Predškolsko obrazovanje</t>
  </si>
  <si>
    <t>1000</t>
  </si>
  <si>
    <t>SOCIJALNA ZAŠTITA</t>
  </si>
  <si>
    <t>1091</t>
  </si>
  <si>
    <t>Socijalna zaštita</t>
  </si>
  <si>
    <t>1092</t>
  </si>
  <si>
    <t>Oblast BIZ-a</t>
  </si>
  <si>
    <t>1093</t>
  </si>
  <si>
    <t>Raseljena i prognana lica</t>
  </si>
  <si>
    <t>UKUPNO:</t>
  </si>
  <si>
    <t>Razdjel</t>
  </si>
  <si>
    <t>Glava</t>
  </si>
  <si>
    <t>Potrošačko
 mjesto</t>
  </si>
  <si>
    <t>01
01</t>
  </si>
  <si>
    <t>01</t>
  </si>
  <si>
    <t>A. TEKUĆI IZDACI</t>
  </si>
  <si>
    <t>001</t>
  </si>
  <si>
    <t>02
02</t>
  </si>
  <si>
    <t>02</t>
  </si>
  <si>
    <t>Plaće i naknade plaće po umanjenju doprinosa</t>
  </si>
  <si>
    <t>03
03</t>
  </si>
  <si>
    <t>03</t>
  </si>
  <si>
    <t>Troškovi vještačenja</t>
  </si>
  <si>
    <t>04
04</t>
  </si>
  <si>
    <t>04</t>
  </si>
  <si>
    <t>05
05</t>
  </si>
  <si>
    <t xml:space="preserve">Otpremnine zbog odlaska u penziju </t>
  </si>
  <si>
    <t>06</t>
  </si>
  <si>
    <t>07</t>
  </si>
  <si>
    <t>08
08</t>
  </si>
  <si>
    <t>01
02</t>
  </si>
  <si>
    <t xml:space="preserve">UKUPNO: TEKUĆI I KAPITALNI IZDACI </t>
  </si>
  <si>
    <t xml:space="preserve">BOSNA I HERCEGOVINA </t>
  </si>
  <si>
    <t xml:space="preserve">FEDERACIJA BOSNE I HERCEGOVINE                                                                                             </t>
  </si>
  <si>
    <t>TUZLANSKI KANTON</t>
  </si>
  <si>
    <t>Organizac. 
Klasifik.</t>
  </si>
  <si>
    <t>Ukupno:</t>
  </si>
  <si>
    <t>Član 5.</t>
  </si>
  <si>
    <t>IV - KAPITALNI TRANSFERI</t>
  </si>
  <si>
    <t>II POSEBNI DIO</t>
  </si>
  <si>
    <t>Primici od domaćeg zaduživanja</t>
  </si>
  <si>
    <t>Primici od domaćih finansijskih institucija</t>
  </si>
  <si>
    <t>IZDACI ZA NABAVKU STALNIH SREDSTAVA</t>
  </si>
  <si>
    <t>IZDACI ZA OTPLATE DUGOVA</t>
  </si>
  <si>
    <t>Primici od finansijske imovine</t>
  </si>
  <si>
    <t>Primici od dugoročnog zaduživanja</t>
  </si>
  <si>
    <t>Kapitalni primici od prodaje stalnih sredstava</t>
  </si>
  <si>
    <t>Gradsko pravobranilaštvo</t>
  </si>
  <si>
    <t xml:space="preserve">Porez na dohodak </t>
  </si>
  <si>
    <t xml:space="preserve">Prihodi od indirektnih poreza na ime finansiranja autocesta u FBiH </t>
  </si>
  <si>
    <t xml:space="preserve">Prihodi od indirektnih poreza koji pripadaju Direkciji cesta </t>
  </si>
  <si>
    <t>Primici od prodaje parking satova</t>
  </si>
  <si>
    <t>RASHODI I IZDACI IZ BUDŽETA</t>
  </si>
  <si>
    <t>NAZIV ORGANIZACIJE</t>
  </si>
  <si>
    <t>FUNKCIONALNA KLASIFIKACIJA</t>
  </si>
  <si>
    <t>Primljeni tekući transferi od Države</t>
  </si>
  <si>
    <t>A - PRIHODI, PRIMICI I FINANSIRANJE</t>
  </si>
  <si>
    <t>B - RASHODI, IZDACI I FINANSIRANJE</t>
  </si>
  <si>
    <t>Primljeni kapitalni transferi od međunarodnih organizacija</t>
  </si>
  <si>
    <t>Index 
(5/3) 
x 100</t>
  </si>
  <si>
    <t>Fond</t>
  </si>
  <si>
    <t>Porez na promet usluga, osim usluga u građevinarstvu</t>
  </si>
  <si>
    <t>012</t>
  </si>
  <si>
    <t>0221</t>
  </si>
  <si>
    <t>0222</t>
  </si>
  <si>
    <t>0225</t>
  </si>
  <si>
    <t>0226</t>
  </si>
  <si>
    <t>0227</t>
  </si>
  <si>
    <t>0327</t>
  </si>
  <si>
    <t>0228</t>
  </si>
  <si>
    <t>0323</t>
  </si>
  <si>
    <t>0322</t>
  </si>
  <si>
    <t>0224</t>
  </si>
  <si>
    <t>044</t>
  </si>
  <si>
    <t>041</t>
  </si>
  <si>
    <t>040</t>
  </si>
  <si>
    <t>052</t>
  </si>
  <si>
    <t>0320</t>
  </si>
  <si>
    <t>062</t>
  </si>
  <si>
    <t>0223</t>
  </si>
  <si>
    <t>C - RASHODI, IZDACI I FINANSIRANJE</t>
  </si>
  <si>
    <t>A - PRIHODI (I+II+III+IV)</t>
  </si>
  <si>
    <t>0133</t>
  </si>
  <si>
    <t>0443</t>
  </si>
  <si>
    <t>Komunalni poslovi</t>
  </si>
  <si>
    <t xml:space="preserve">Prihodi od indirektnih poreza koji pripadaju jedinicama lokalne sam. </t>
  </si>
  <si>
    <t>Budžet za 2023. godinu</t>
  </si>
  <si>
    <t>Prijedlog
budžeta za 2024. godinu</t>
  </si>
  <si>
    <t>I  OPĆI    DIO</t>
  </si>
  <si>
    <t>1.PRIHODI (1.1.+1.2+1.3+1.4)</t>
  </si>
  <si>
    <t>71+77</t>
  </si>
  <si>
    <t>1.1 PRIHODI OD POREZA (1.1.1. do 1.1.6.)</t>
  </si>
  <si>
    <t>1.1.1.Porez na dohodak</t>
  </si>
  <si>
    <t>1.1.2.Prihodi od indirektnih poreza</t>
  </si>
  <si>
    <t>1.2.NEPOREZNI  PRIHODI</t>
  </si>
  <si>
    <t>1.3.TEKUĆI TRASFERI (TRANSFERI I DONACIJE)</t>
  </si>
  <si>
    <t>1.4.KAPITALNI TRANSFERI</t>
  </si>
  <si>
    <t>2. RASHODI (2.1.+2.2.)</t>
  </si>
  <si>
    <t>2.1.RASHODI</t>
  </si>
  <si>
    <t>2.2.TEKUĆA REZERVA</t>
  </si>
  <si>
    <t>3.  TEKUĆI BILANS (1.-2.)</t>
  </si>
  <si>
    <t>4.  KAPITALNI PRIMICI</t>
  </si>
  <si>
    <t>5.  KAPITALNI IZDACI</t>
  </si>
  <si>
    <t>6.  NETO NABAVKA NEFINANSIJSKE IMOVINE( 4-5)</t>
  </si>
  <si>
    <t>7.  UKUPAN DEFICIT/SUFICIT (3.+6.)</t>
  </si>
  <si>
    <t xml:space="preserve">8. PRIMICI OD FINANSIJSKE IMOVINE I </t>
  </si>
  <si>
    <t>ZADUŽIVANJA ( 8.1.+8.2.+8.3.)</t>
  </si>
  <si>
    <t>8.1.PRIMICI OD FINANSIJSKE IMOVINE</t>
  </si>
  <si>
    <t>8.2.PRIMICI OD DUGOROČNOG ZADUŽIVANJA</t>
  </si>
  <si>
    <t>8.3.PRIMICI OD KRATKOROČNOG ZADUŽIVANJA</t>
  </si>
  <si>
    <t>9. IZDACI ZA FINANSIJSKU IMOVINU I</t>
  </si>
  <si>
    <t xml:space="preserve">    OTPLATU DUGOVA(9.1+9.2+ 9.3)</t>
  </si>
  <si>
    <t>9.1. IZDACI ZA FINANSIJSKU IMOVINU</t>
  </si>
  <si>
    <t>9.2. IZDACI ZA OTPLATE DUGOVA</t>
  </si>
  <si>
    <t xml:space="preserve"> 9.3. OTPLATE DUGA PO IZDATIM GARANCIJAMA</t>
  </si>
  <si>
    <t>10. NETO FINANSIRANJE (8-9)</t>
  </si>
  <si>
    <t>11.PRENESENI VIŠAK PRIHODA IZ PREDH. GOD.</t>
  </si>
  <si>
    <t>12.  UKUPAN FINANSIJSKI REZULTAT (7 + 10+11)</t>
  </si>
  <si>
    <t>Budžet  općine Kalesija za period 01.01.2024. - 31.12.2024.godine sastoji se od:</t>
  </si>
  <si>
    <t>1.1.3.Porez na imovinu i ostali porezi</t>
  </si>
  <si>
    <t>Budžet za
 2023. godinu</t>
  </si>
  <si>
    <t>Budžet za 
2024. godinu</t>
  </si>
  <si>
    <t>Ekonomski
 kod</t>
  </si>
  <si>
    <t>Prihodi od iznajmljivanja poslovnih prostora i ostale materijalne imovine</t>
  </si>
  <si>
    <t>Prihodi od kamata za depozite u banci</t>
  </si>
  <si>
    <t>Naknada za priključak na vodovodnu mrežu</t>
  </si>
  <si>
    <t>Prihodi od pružanja javnih usluga</t>
  </si>
  <si>
    <t>Prihodi od pružanja usluga građanima</t>
  </si>
  <si>
    <t>Vlastiti prihodi od pružanja usluga drugima</t>
  </si>
  <si>
    <t>Primljeni tekući transferi od inostran.vlada i međunarodnih organizacija</t>
  </si>
  <si>
    <t>Primljeni tekući transferi od međunarodnih organizacija</t>
  </si>
  <si>
    <t>Primljeni tekući transferi od Republike Srpske</t>
  </si>
  <si>
    <t>Primljeni tekući transferi od Mjesnih zajednica</t>
  </si>
  <si>
    <t>Primljeni tekući transferi od Građana (fasade zgrada u centru Kalesije)</t>
  </si>
  <si>
    <t>Budžet za 2023. g.</t>
  </si>
  <si>
    <t>Prijedlog 
budžeta za 2024. g.</t>
  </si>
  <si>
    <t>Naknada za topli obrok</t>
  </si>
  <si>
    <t>Općinska priznanja</t>
  </si>
  <si>
    <t>Pomoć u slučaju smrti užeg člana porodice</t>
  </si>
  <si>
    <t>Doprinosi na teret poslodavca</t>
  </si>
  <si>
    <t>Neto plaća</t>
  </si>
  <si>
    <t>Doprinos na teret uposlenih</t>
  </si>
  <si>
    <t>Doprinos na teret zaposlenih</t>
  </si>
  <si>
    <t>Naknada za prijevoz s posla i na posao</t>
  </si>
  <si>
    <t>Putni troškovi - dnevnice</t>
  </si>
  <si>
    <t>Izrada softvera za održavanje sjednica Općinskog vijeća</t>
  </si>
  <si>
    <t>Kolektivno osiguranje zaposlenih</t>
  </si>
  <si>
    <t>Izdaci za nabavku knjiga i štampe</t>
  </si>
  <si>
    <t>Troškovi održavanja sjednica Vijeća</t>
  </si>
  <si>
    <t>Ostali troškovi održavanja sjednica Općinskog vijeća</t>
  </si>
  <si>
    <t>Izdaci za rad u Vijećničkim komisijama</t>
  </si>
  <si>
    <t>Naknade općinskim vijećnicima</t>
  </si>
  <si>
    <t>Naknade za rad u vijećničkim komisijama</t>
  </si>
  <si>
    <t>Ukupno: Stručna služba Općinskog vijeća</t>
  </si>
  <si>
    <t>Neto plaće</t>
  </si>
  <si>
    <t>Doprinosi na teret zaposlenih</t>
  </si>
  <si>
    <t>Doprinosi na teret uposlenih</t>
  </si>
  <si>
    <t>Naknade za prijevoz s posla i na posao</t>
  </si>
  <si>
    <t>Izdaci za telefonske usluge</t>
  </si>
  <si>
    <t>Izdaci za obilježavanje datuma i događaja</t>
  </si>
  <si>
    <t>Izdaci za obilježavanje odlaska u Srebrenicu</t>
  </si>
  <si>
    <t>Izdaci za obilježavanje Dana općine Kalesija</t>
  </si>
  <si>
    <t>Izdaci za obilježavanje značajnih datuma i događaja</t>
  </si>
  <si>
    <t>Izdaci za organizaciju odlaska u Srebrenicu</t>
  </si>
  <si>
    <t>Ukupno: Općinski načelnik</t>
  </si>
  <si>
    <t>Izdaci za izradu projekta uređ.kompl.pijace Tojšići</t>
  </si>
  <si>
    <t>Projektovanje vodovoda Jelovo Brdo</t>
  </si>
  <si>
    <t>Projektovanje pješačke staze od Ine do zanat.centra u Kalesiji</t>
  </si>
  <si>
    <t>Izdaci za medije</t>
  </si>
  <si>
    <t>Usluge objavljivanja tendera i oglasa</t>
  </si>
  <si>
    <t>Izdaci pretplate na sl.listove, časopise i seminare</t>
  </si>
  <si>
    <t>Izdaci za izradu info letaka</t>
  </si>
  <si>
    <t>Izdaci za specijalizaciju i školovanje</t>
  </si>
  <si>
    <t>Izdaci za izgubljene sporove</t>
  </si>
  <si>
    <t>Naknada komisiji za tehnički prijem objekata</t>
  </si>
  <si>
    <t>Naknada komisiji za procjenu nepokretnosti</t>
  </si>
  <si>
    <t>Naknade za rad raznih komisija</t>
  </si>
  <si>
    <t>Izdaci za kulturu</t>
  </si>
  <si>
    <t>Snimanje pjesme o Mirzetu Humiću</t>
  </si>
  <si>
    <t>Škola harmonike</t>
  </si>
  <si>
    <t>Sportska udruženja</t>
  </si>
  <si>
    <t>Sportski savez općine Kalesija</t>
  </si>
  <si>
    <t>Sportski kolektivi i udruženja</t>
  </si>
  <si>
    <t>Sponzorstvo klubova u Super ligi u odbojci</t>
  </si>
  <si>
    <t>Sponzorstvo košarkaških klubova u A2 ligi</t>
  </si>
  <si>
    <t>Izdaci za nadarene sportiste</t>
  </si>
  <si>
    <t>Općinska izborna komisija</t>
  </si>
  <si>
    <t>Transfer za izbore - biračke odbore</t>
  </si>
  <si>
    <t>Transfer za zapošljavanje doktora</t>
  </si>
  <si>
    <t>Učešće u troškovima logopeda</t>
  </si>
  <si>
    <t>Sufinansiranje HES i Službe hitne pomoći DZ Kalesija</t>
  </si>
  <si>
    <t>Lift u zgradi Doma zdravlja Kalesija</t>
  </si>
  <si>
    <t>Centar za socijalni rad Kalesija</t>
  </si>
  <si>
    <t>Transfer za BKC Alija Izetbegović Kalesija</t>
  </si>
  <si>
    <t>Bosanski kulturni centar</t>
  </si>
  <si>
    <t>Ostali doprinosi - Savez općina</t>
  </si>
  <si>
    <t>Isplata stipendija</t>
  </si>
  <si>
    <t>Organizacije i udruženja proizašla iz rata</t>
  </si>
  <si>
    <t>Organizacije i udruženja koja pomažu rad mladih</t>
  </si>
  <si>
    <t>Transfer za Merhamet Kalesija</t>
  </si>
  <si>
    <t>Transfer za Crveni križ Kalesija</t>
  </si>
  <si>
    <t>Udruženja penzionera</t>
  </si>
  <si>
    <t>Proaktiva - šampioni znanja</t>
  </si>
  <si>
    <t>Civilne žrtve rata općine Kalesija</t>
  </si>
  <si>
    <t>Udruženja antifašista Kalesija</t>
  </si>
  <si>
    <t>Novi horizonti - Senzori za kontin.mjerenje šećera u krvi</t>
  </si>
  <si>
    <t>Vjerske zajednice</t>
  </si>
  <si>
    <t>Subvencija JP Veterinarska stanica Kalesija</t>
  </si>
  <si>
    <t>Naknada za povrat više ili pogrešno uplaćenih sredstava</t>
  </si>
  <si>
    <t>Rekonstrukcija prost.OŠ Memići i kupovina opreme za kabinet</t>
  </si>
  <si>
    <t>Renoviranje lovačke kuće u Zoljama</t>
  </si>
  <si>
    <t>Spomen obilježja po mjesnim zajednicama</t>
  </si>
  <si>
    <t>Rekonstrukcija igrališta romskog naselja Olanovca</t>
  </si>
  <si>
    <t>Dovršetak izgradnje tribina FK Krušik</t>
  </si>
  <si>
    <t>Nastavak izgradnje svlačionice FK Bosna Kalesija</t>
  </si>
  <si>
    <t>Dovršetak izgradnje objekta na stadionu FK Mladost 78</t>
  </si>
  <si>
    <t>Uređenje i oprema dječijeg igrališta u MZ Zelina</t>
  </si>
  <si>
    <t>Ambulanta Seljublje</t>
  </si>
  <si>
    <t>Ambulanta Gojčin - Jelovo Brdo</t>
  </si>
  <si>
    <t>Kanalizacija u Donjoj Dubnici</t>
  </si>
  <si>
    <t>Vodovod Zukići</t>
  </si>
  <si>
    <t xml:space="preserve">Vodovod Jajići </t>
  </si>
  <si>
    <t>Prošir.prim.sekund.vodov.mreže i ind.u Vukovijama Gornjim</t>
  </si>
  <si>
    <t>Rekonstrukcija kapitaže mjesnog vodovoda Gojčin</t>
  </si>
  <si>
    <t>Sanacija Vodovoda u Kalesiji Gornjoj</t>
  </si>
  <si>
    <t>Zacjevljivanje površinskih voda u zaseoku Centar Rainci Gornji</t>
  </si>
  <si>
    <t>Zacjevljivanje kanala u Jelovom Brdu</t>
  </si>
  <si>
    <t>Zacjevljivanje kanala u Vukovijama Donjim (Spahići)</t>
  </si>
  <si>
    <t>Zacjevljivanje kanala u Vukovijama Donjim (Zenuni)</t>
  </si>
  <si>
    <t>Izgradnja ambulante u Tojšićima</t>
  </si>
  <si>
    <t>Asfaltiranje lokalnih puteva</t>
  </si>
  <si>
    <t>Asfaltiranje puta Meškovići - Stara lipovačka džamija</t>
  </si>
  <si>
    <t>Sanacija puta Zukići - Baljkovica</t>
  </si>
  <si>
    <t>Sanacija puta u Jeginovom Lugu</t>
  </si>
  <si>
    <t>Podrška projektu otvaranja odjeljenja muzeja 2. pješ.</t>
  </si>
  <si>
    <t>Izgradnja Doma kulture u Tojšićima</t>
  </si>
  <si>
    <t>Izdaci za nabavku stalnih sredstava</t>
  </si>
  <si>
    <t>Gradska sportska dvorana</t>
  </si>
  <si>
    <t>Izgradnja kolektivnog stambenog objekta</t>
  </si>
  <si>
    <t>Izgradnja obdaništa u Kalesiji</t>
  </si>
  <si>
    <t>Izgradnja Islamskog centra u Kalesiji</t>
  </si>
  <si>
    <t>Hidrogeološka istraživanja istočnog dijela općine Kalesija</t>
  </si>
  <si>
    <t>Rekonst.i dogr.fekal.i obor.kanaliz.mreže K1 u NN MZ Centar</t>
  </si>
  <si>
    <t>Nabavka kompjuterske opreme</t>
  </si>
  <si>
    <t>Nabavka opreme za prijenos podataka</t>
  </si>
  <si>
    <t>Nabavka teret.vozila za potrebe Službe za prostorno uređenje</t>
  </si>
  <si>
    <t>Izdaci za finansijsku imovinu i otplatu dugova</t>
  </si>
  <si>
    <t>Otplate dugova po izdatim garancijama</t>
  </si>
  <si>
    <t>Vanbilansna evidencija</t>
  </si>
  <si>
    <t>Pomoć u slučaju teže bolesti radnika</t>
  </si>
  <si>
    <t>Izdaci za Internet</t>
  </si>
  <si>
    <t>Izdaci za odvoz smeća</t>
  </si>
  <si>
    <t>Ispravka vrijednosti sitnog inventara</t>
  </si>
  <si>
    <t>Gorivo za prevoz</t>
  </si>
  <si>
    <t>Unajmljivanje opreme i zaštite objekata</t>
  </si>
  <si>
    <t>Materijal za opravku i održavanje stalnih sredstava</t>
  </si>
  <si>
    <t>Usluge popravki i održavanja stalnih sredstava</t>
  </si>
  <si>
    <t>Usluge održavanja programskog softvera Nova</t>
  </si>
  <si>
    <t>Nabavka antivirusnog softvera</t>
  </si>
  <si>
    <t>Nabavka LRC</t>
  </si>
  <si>
    <t>Izdaci za održavanje vozila</t>
  </si>
  <si>
    <t>Uređenje i čišćenje poljop.zemljišta KO Gojčin</t>
  </si>
  <si>
    <t>Izdaci platnog prometa</t>
  </si>
  <si>
    <t>Izdaci pretplate na služb.listove, časopise i seminare</t>
  </si>
  <si>
    <t>Izdaci za volonterski rad</t>
  </si>
  <si>
    <t>Izdaci za subvencije JP Vodovod i kanalizacija Kalesija</t>
  </si>
  <si>
    <t>Sufinansiranje deponovanja otpada na Regionalnu deponiju</t>
  </si>
  <si>
    <t>Podrška razvoju poljoprivrede</t>
  </si>
  <si>
    <t>Pomoć za uginuće stoke</t>
  </si>
  <si>
    <t>Subvencija javnim komunalnim preduzećima - Regionalna deponija</t>
  </si>
  <si>
    <t>Subvencija JP Vodovod i kanalizacija Kalesija</t>
  </si>
  <si>
    <t>Subvencije za poduzetništvo</t>
  </si>
  <si>
    <t>Edukacija u oblasti poduzetništva i poljoprivrede</t>
  </si>
  <si>
    <t>Ukupno:  Služba za privredu i budžet</t>
  </si>
  <si>
    <t>Poštanske usluge</t>
  </si>
  <si>
    <t>Materijal za deratizaciju</t>
  </si>
  <si>
    <t>Unajmljivanje prostora za potrebe arhive</t>
  </si>
  <si>
    <t>Podrška obrazovanju Romske i druge djece</t>
  </si>
  <si>
    <t>Izdaci za predškolsko obrazovanje</t>
  </si>
  <si>
    <t>Grantovi mjesnim zajednicama</t>
  </si>
  <si>
    <t>Nabavka učila i didaktičkog materijala</t>
  </si>
  <si>
    <t>Izdaci za nabavku odjeće, uniformi i nabavku platna</t>
  </si>
  <si>
    <t>Sufinansiranje prevoza djece</t>
  </si>
  <si>
    <t>Pomoć za stambeno zbrinjavanje socijalno ugroženih</t>
  </si>
  <si>
    <t>Pomoć raseljenim licima i povratnicima</t>
  </si>
  <si>
    <t>Pomoć povratnicima u opštini Osmaci</t>
  </si>
  <si>
    <t>Integracija readmisiranih osoba</t>
  </si>
  <si>
    <t>Izdaci za nagrađivanje učenika završnih razreda osnovnih škola</t>
  </si>
  <si>
    <t>Pomoć za porodilje</t>
  </si>
  <si>
    <t>Kućna njega i pomoć starim licima bez porod.staranja</t>
  </si>
  <si>
    <t>Pomoć u osiguranju neosiguranih lica</t>
  </si>
  <si>
    <t>Provođenje lokalnog akcionog plana za Rome</t>
  </si>
  <si>
    <t>Stambeno zbrinjavanje roma iz Akcionog plana</t>
  </si>
  <si>
    <t>Ukupno: Služba za opću upravu i društvene djelatnosti</t>
  </si>
  <si>
    <t>Budžet za 2023. god.</t>
  </si>
  <si>
    <t>Prijedlog 
budžeta za 2024. god.</t>
  </si>
  <si>
    <t xml:space="preserve">BUDŽET ZA 2024. GODINU PREDSTAVLJEN PO ORGANIZACIONOJ  KLASIFIKACIJI </t>
  </si>
  <si>
    <t xml:space="preserve"> BUDŽET ZA 2024. GODINU PREDSTAVLJEN PO FUNKCIONALNOJ KLASIFIKACIJI</t>
  </si>
  <si>
    <t>Prijedlog
budžeta za 2024. god.</t>
  </si>
  <si>
    <t>Izdaci za uličnu rasvjetu</t>
  </si>
  <si>
    <t>Izdaci za komunalne usluge</t>
  </si>
  <si>
    <t>Izrada horizontalne i vertikalne signalizacije u gradu</t>
  </si>
  <si>
    <t>Sanacija i zatvaranje deponije Vis</t>
  </si>
  <si>
    <t>Usluge opravki i održavanja</t>
  </si>
  <si>
    <t>Izdaci za zimsko održavanje puteva</t>
  </si>
  <si>
    <t>Izgradnja autobuskog stajališta u centru Memići</t>
  </si>
  <si>
    <t>Usluge održavanja cesta i mostova</t>
  </si>
  <si>
    <t>Uređenje puta Plavi most - Begova ćuprija</t>
  </si>
  <si>
    <t>Izgradnja pješačkog mosta Mehanovići, Prnjavor</t>
  </si>
  <si>
    <t>Uređenje kanala u MZ-i Petrovice</t>
  </si>
  <si>
    <t>Uređenje kategor.puta u MZ Vukovije G., zaseok Ćive</t>
  </si>
  <si>
    <t>Čišćenje potoka Huk u MZ Miljanovci</t>
  </si>
  <si>
    <t>Regulacija potoka Kavgara - Gribaja, MZ Kikači</t>
  </si>
  <si>
    <t>Čišćenje i uređenje reg.korita rijeke Dubnica</t>
  </si>
  <si>
    <t>Sanacija puta od Hrasna Donjeg do Hrasna Gornjeg</t>
  </si>
  <si>
    <t>Uređenje bankina u MZ Dubnica</t>
  </si>
  <si>
    <t>Uređenje fasada u Centru Kalesiji</t>
  </si>
  <si>
    <t>Usluge izgradnje i održavanja Javnih skloništa</t>
  </si>
  <si>
    <t>Izdaci za sprovođenje mjera o zaštiti od prir.i dr. nesreća</t>
  </si>
  <si>
    <t>Izdaci za protivpožarnu zaštitu</t>
  </si>
  <si>
    <t>Sanacija klizišta Zukići</t>
  </si>
  <si>
    <t>Usluge ispitivanja vode</t>
  </si>
  <si>
    <t>Izdaci za podršku prilikom deminiranja</t>
  </si>
  <si>
    <t>KAPITALNI IZDACI POSEBNOG RAČUNA</t>
  </si>
  <si>
    <t>Nastavak izgradnje Nove ulice u Kalesiji</t>
  </si>
  <si>
    <t>Izgradnja ulice od Zelene pijace do Nove ulice u Kalesiji Centru</t>
  </si>
  <si>
    <t>Uređenje Trga šehida</t>
  </si>
  <si>
    <t>Ukupno: Služba za komunalne poslove i civilnu zaštitu</t>
  </si>
  <si>
    <t>Otpremnina zbog odlaska u penziju</t>
  </si>
  <si>
    <t>Troškovi reprezentacije</t>
  </si>
  <si>
    <t>Ukupno: Općinsko pravobranilaštvo</t>
  </si>
  <si>
    <t>OPĆINA KALESIJA</t>
  </si>
  <si>
    <t xml:space="preserve"> PREDSJEDAVAJUĆI OPĆINSKOG VIJEĆA:</t>
  </si>
  <si>
    <t>Damir Džafić</t>
  </si>
  <si>
    <t>Hitni i nepredviđeni izdaci  koji se pojave u toku budžetske godine podmiruju se iz sredstva tekuće rezerve utvrđene u budžetu.
Raspodjelu sredstava odobrava Načelnik u skladu sa kriterijima za upotrebu sredstava tekuće rezerve i utvrđenom Odlukom o izvršavanju budžeta.</t>
  </si>
  <si>
    <t>Općinsko vijeće</t>
  </si>
  <si>
    <t>Općinski načelnik</t>
  </si>
  <si>
    <t>Služba za privredu i budžet</t>
  </si>
  <si>
    <t>Služba za prostorno uređenje, geodetske i imovinsko-pravne poslove</t>
  </si>
  <si>
    <t>Služba za opću upravu i društvene djelatnosti</t>
  </si>
  <si>
    <t>Služba za komunalne poslove i civilnu zaštitu</t>
  </si>
  <si>
    <t>Općinsko pravobranilaštvo</t>
  </si>
  <si>
    <t>O1
0100</t>
  </si>
  <si>
    <t>O2
0200</t>
  </si>
  <si>
    <t>O3
0300</t>
  </si>
  <si>
    <t>O4
0400</t>
  </si>
  <si>
    <t>O5
0500</t>
  </si>
  <si>
    <t>O6
0600</t>
  </si>
  <si>
    <t>O7
0700</t>
  </si>
  <si>
    <t>Otplata dugova po izdatim garancijama</t>
  </si>
  <si>
    <t xml:space="preserve">          Na osnovu člana 37. Zakona o budžetima u Federaciji Bosne i Hercegovine ("Službene novine FBiH",102/13, 9/14 ,13/14,08/15, 91/15,102/15,104/16, 05/18,11/19 i 99/19, 25a/22), </t>
  </si>
  <si>
    <t>Kapitalni transferi javnim preduzećima</t>
  </si>
  <si>
    <t>05</t>
  </si>
  <si>
    <t>0981</t>
  </si>
  <si>
    <t>0641</t>
  </si>
  <si>
    <t>0662</t>
  </si>
  <si>
    <t>0331</t>
  </si>
  <si>
    <t>Budžet  općine Kalesija za 2024. godinu stupa na snagu danom objavljivanja u  "Službenom glasniku općine Kalesija", a važi za fiskalnu 2024. godinu.</t>
  </si>
  <si>
    <t>0831</t>
  </si>
  <si>
    <t>0821</t>
  </si>
  <si>
    <t>0811</t>
  </si>
  <si>
    <t>0741</t>
  </si>
  <si>
    <t>0841</t>
  </si>
  <si>
    <t>0761</t>
  </si>
  <si>
    <t>0412</t>
  </si>
  <si>
    <t>Opći poslovi po osnovu pitanja rada</t>
  </si>
  <si>
    <t>Ostale usluge zdravstvene zaštite</t>
  </si>
  <si>
    <t>Zdravstvena zaštita životinja</t>
  </si>
  <si>
    <t>Podrška iz oblasti obrazovanja</t>
  </si>
  <si>
    <t>Ostvareno za
 01.01.-30.09.
2023.godine</t>
  </si>
  <si>
    <t>Ostvareno za
 01.01.-30.09.
2023.god.</t>
  </si>
  <si>
    <t>Porez na promet osnovnih proizvoda za građevinarstvo</t>
  </si>
  <si>
    <t>Ukupan broj zaposlenih</t>
  </si>
  <si>
    <t>Sponzorstvo klubova u I ligi TK</t>
  </si>
  <si>
    <t>011</t>
  </si>
  <si>
    <t>Adaptacija objekata po mjesnim zajednicama</t>
  </si>
  <si>
    <t>Učešće u sufinansiranju projekata međunarodnih i domaćih org.</t>
  </si>
  <si>
    <t>Dogradnja i izgradnja fekalne kanaliz.Kalesija C i okolna naselja</t>
  </si>
  <si>
    <t>Izg.saob. u zap. dijelu proiz. posl.zone Kalesija grad-Kalesijsko polje-Ćetenište</t>
  </si>
  <si>
    <t>Fun. klas.</t>
  </si>
  <si>
    <t>03.SLUŽBA ZA PRIVREDU I BUDŽET 
0300. SLUŽBA ZA PRIVREDU I BUDŽET</t>
  </si>
  <si>
    <t>02. OPĆINSKI NAČELNIK 
0200 - OPĆINSKI NAČELNIK</t>
  </si>
  <si>
    <t xml:space="preserve">Nabavka MS Office licence </t>
  </si>
  <si>
    <t xml:space="preserve">05. SLUŽBA ZA OPĆU UPRAVU I DRUŠTVENE DJELATNOSTI
0500.SLUŽBA ZA OPĆU UPRAVU I DRUŠTVENE DJELATNOSTI </t>
  </si>
  <si>
    <t>Nabavka autocisterne sa pumpom za pitku vodu</t>
  </si>
  <si>
    <t xml:space="preserve">UKUPNO ZAPOSLENIH: </t>
  </si>
  <si>
    <t>Izgrad.saob.u zapad.dijelu proizv.posl.zone Kalesija Grad</t>
  </si>
  <si>
    <t>04. SLUŽBA ZA PROSTORNO UREĐENJE, GEODETSKE I IMOVINSKO-PRAVNE POSLOVE 
0400. SLUŽBA ZA PROSTORNO UREĐENJE, GEODETSKE I IMOVINSKO-PRAVNE POSLOVE</t>
  </si>
  <si>
    <t>06. SLUŽBA ZA KOMUNALNE POSLOVE I CIVILNU ZAŠTITU
0600.SLUŽBA ZA KOMUNALNE POSLOVE I CIVILNU ZAŠTITU</t>
  </si>
  <si>
    <t xml:space="preserve">7. OPĆINSKO PRAVOBRANILAŠTVO
700. OPĆINSKO PRAVOBRANILAŠTVO </t>
  </si>
  <si>
    <t>01. OPĆINSKO VIJEĆE 
0100 - STRUČNA SLUŽBA OPĆINSKOG VIJEĆA</t>
  </si>
  <si>
    <t>Uređenje i čišćenje poljop.zemljišta KO Prnjavor</t>
  </si>
  <si>
    <t>Uređenje i čišćenje poljop.zemljišta KO Vukovije</t>
  </si>
  <si>
    <t xml:space="preserve">Nabavka novih tehnologija za realizaciju izbornog procesa </t>
  </si>
  <si>
    <t>Procjena za                                                                                                                                                                                                                                                                                                                                                                                               2023.godinu</t>
  </si>
  <si>
    <t xml:space="preserve">Procjena ostvarenja za 2023.godinu                                            </t>
  </si>
  <si>
    <t xml:space="preserve">Procjena ostvarenja za 2023.godinu </t>
  </si>
  <si>
    <t>4</t>
  </si>
  <si>
    <t>Index 
(7/4) 
x 100</t>
  </si>
  <si>
    <t>Index 
(7/6) 
x 100</t>
  </si>
  <si>
    <t>Indeks                                                                                                                                                                                                                                                                                                                                                                                       k4/k3</t>
  </si>
  <si>
    <t>Index 
(6/3) 
x 100</t>
  </si>
  <si>
    <t>Index 
(6/5) 
x 100</t>
  </si>
  <si>
    <t>Index 
(11/8) 
x 100</t>
  </si>
  <si>
    <t>Index 
(11/10) 
x 100</t>
  </si>
  <si>
    <t>Član 1.</t>
  </si>
  <si>
    <t>Član 2.</t>
  </si>
  <si>
    <t>Član 3.</t>
  </si>
  <si>
    <t xml:space="preserve">Član 4. </t>
  </si>
  <si>
    <t>Član 6.</t>
  </si>
  <si>
    <t>OPĆINSKO VIJEĆE</t>
  </si>
  <si>
    <t xml:space="preserve">Prihodi i rashodi po grupama utvrđuju se u Bilansu prihoda i rashoda za period 01.01. – 31.12.2024.godine, kako slijedi </t>
  </si>
  <si>
    <t>NACRT BUDŽETA</t>
  </si>
  <si>
    <t>člana 42.Statuta općine Kalesija-Prečišćeni tekst("Službeni glasnik općine Kalesija" broj: 10/07, 07/08, 10/11, 03/12, i 06/13) i člana 99.Poslovnika o radu općinskog vijeća-Prečišćeni tekst</t>
  </si>
  <si>
    <t xml:space="preserve">Sredstva prikupljena po osnovu naknada utvrđenih Zakonom o građevinskom zemljištu ("Sl.novine FBIH" broj: 25/03 ) evidentiraju se na Posebnom računu ( Sredstva za uređenje gradskog </t>
  </si>
  <si>
    <t xml:space="preserve"> građevinskog zemljišta) i ne smatraju se Javnim prihodom. Ova sredstva koriste se u skladu sa članom 54,55 i 56. Zakona o prostornom uređenju i građenju("Sl.novine  prihodom  TK" broj:</t>
  </si>
  <si>
    <t xml:space="preserve">  06/11, 04/13 i 15/13)za opremanje i pripremanje građevinskog zemljišta,a prikazana su kao kapitalni izdaci u  Službi za komunalne poslove i civilnu zaštitu u dijelu  "Kapitalni izdaci sa            </t>
  </si>
  <si>
    <t xml:space="preserve">     posebnog računa".</t>
  </si>
  <si>
    <t xml:space="preserve">Numerisanje naseljenih mjesta, ulica i objekata </t>
  </si>
  <si>
    <t xml:space="preserve">
 OPĆINE KALESIJA ZA PERIOD 01.01. do 31.12.2024.GODINE</t>
  </si>
  <si>
    <t>Usluge permanentnih GNSS stanica</t>
  </si>
  <si>
    <t>Uspostava Registra imovine Općine Kalesija</t>
  </si>
  <si>
    <t>Uspostava Katastra komunalnih uređaja</t>
  </si>
  <si>
    <t>Uspostava Adresnog registra</t>
  </si>
  <si>
    <t xml:space="preserve">Rekonstrukcija računarske i telef. mreže u zgradi Organa uprave </t>
  </si>
  <si>
    <t>Uređenje rijeke Gribaje u Kikačima od AB mosta nizvodno</t>
  </si>
  <si>
    <t>Izgradnja mosta na rijeci Gribaji</t>
  </si>
  <si>
    <t>Izgradnja i rekonstrukcija  ulične rasvjete po MZ</t>
  </si>
  <si>
    <t>Sanacija objekta JU BKC Alija Izetbegović Kalesija</t>
  </si>
  <si>
    <t>Izgradnja sistema za odv.otpad.i obor. voda zgrada Kolektivnog                                                                                                                                                                                                                                                                    stanovanje-Tubići</t>
  </si>
  <si>
    <t>Vodovod Jelovo Brdo</t>
  </si>
  <si>
    <t>Rashodi i izdaci u budžetu u iznosu od  15.990.032,00 KM raspoređuju se po korisnicima u Posebnom dijelu Budžeta, kako slijedi:</t>
  </si>
  <si>
    <t>Izgradnja tribine na stadionu Senad Mešić Čiča - NK Rainci Gornji</t>
  </si>
  <si>
    <t>Izgradnja vodovoda Hrasno Donje - Horozovina, faza I</t>
  </si>
  <si>
    <t>Učešće u realizaciji projekata smanjenja energetskog siromaštva</t>
  </si>
  <si>
    <t>Sufinansiranje izgradnje uličnih rasvjeta po mjesnim zajednicama</t>
  </si>
  <si>
    <t xml:space="preserve">Izgradnja spomenika "Ljiljan" na Visu </t>
  </si>
  <si>
    <t>Sredst.za Dogs trust prog.za sis.rješ.prob.pasa i uklanj. uginulih životinja-JP Veterinarska stanica Kalesija</t>
  </si>
  <si>
    <t>Ukupno: Služba za prostorno uređenje, geodetske i imovinsko-pravne poslove</t>
  </si>
  <si>
    <t>Subvencioniranje dijela troškova vode za socijalno ugrožene osobe</t>
  </si>
  <si>
    <t>Izdaci za vojne inv. ranjene borce i porodice poginulih boraca za materijalno zbrinjavanje</t>
  </si>
  <si>
    <t>Materijal za popravak i održavanje cesta, željeznica i mostova</t>
  </si>
  <si>
    <t>Materijal za opravku i održavanje sredstava i opreme</t>
  </si>
  <si>
    <t>Regulacija korita rijeke Gribaje i Aščića potoka 
(oko pijace u Tojšićima)</t>
  </si>
  <si>
    <t>Čišćenje i sanacija Rainske rijeke, faza I</t>
  </si>
  <si>
    <t>Odvodnja otpadnih i oborinskih voda kod Doma kulture Vukovije Donje</t>
  </si>
  <si>
    <t>Izgradnja puta na Visu</t>
  </si>
  <si>
    <t>Saniranje šteta od prirodnih i dr.nesreća na objektima infrastrukture i objektima građana</t>
  </si>
  <si>
    <t>Izgradnja i uređenje platoa i parking prostora u centru grada Kalesija</t>
  </si>
  <si>
    <t>Sponzorstvo fudbalskih klubova u II. ligi Federacije BiH</t>
  </si>
  <si>
    <t>Izdaci za izradu projektne i prostorno planske dokument</t>
  </si>
  <si>
    <t>("Službeni glasnik općine Kalesija", broj: 06/08,10/11 i 09/16), na prijedlog Općinskog načelnika, Općinsko vijeće Kalesija na sjednicii održanoj dana ___/___/2023. godine  usvaja</t>
  </si>
  <si>
    <t>Grafički prikaz planiranih prihoda i primitaka u 2023. i 2024. godini</t>
  </si>
  <si>
    <t>Grafički prikaz planiranih rashoda budžeta općine Kalesija za 2023. i 2024. godinu po funkcionalnoj klasifikaciji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</si>
</sst>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 tint="4.9989318521683403E-2"/>
      <name val="Arial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9"/>
      <color theme="1" tint="4.9989318521683403E-2"/>
      <name val="Arial"/>
      <family val="2"/>
      <charset val="238"/>
    </font>
    <font>
      <b/>
      <sz val="9"/>
      <color theme="1"/>
      <name val="Arial"/>
      <family val="2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0">
    <xf numFmtId="0" fontId="0" fillId="0" borderId="0" xfId="0"/>
    <xf numFmtId="0" fontId="5" fillId="0" borderId="0" xfId="1" applyFont="1"/>
    <xf numFmtId="4" fontId="5" fillId="0" borderId="0" xfId="1" applyNumberFormat="1" applyFont="1"/>
    <xf numFmtId="10" fontId="5" fillId="0" borderId="0" xfId="1" applyNumberFormat="1" applyFont="1"/>
    <xf numFmtId="0" fontId="4" fillId="0" borderId="0" xfId="0" applyFont="1"/>
    <xf numFmtId="0" fontId="5" fillId="0" borderId="0" xfId="4" applyFont="1"/>
    <xf numFmtId="0" fontId="4" fillId="0" borderId="0" xfId="4" applyFont="1"/>
    <xf numFmtId="2" fontId="5" fillId="0" borderId="0" xfId="4" applyNumberFormat="1" applyFont="1" applyAlignment="1">
      <alignment horizontal="center" wrapText="1"/>
    </xf>
    <xf numFmtId="2" fontId="5" fillId="0" borderId="0" xfId="4" applyNumberFormat="1" applyFont="1" applyAlignment="1">
      <alignment horizontal="center" vertical="center" wrapText="1"/>
    </xf>
    <xf numFmtId="2" fontId="4" fillId="0" borderId="0" xfId="4" applyNumberFormat="1" applyFont="1" applyAlignment="1">
      <alignment horizontal="center"/>
    </xf>
    <xf numFmtId="2" fontId="5" fillId="0" borderId="0" xfId="4" applyNumberFormat="1" applyFont="1" applyAlignment="1">
      <alignment horizontal="center"/>
    </xf>
    <xf numFmtId="0" fontId="5" fillId="0" borderId="0" xfId="7" applyFont="1"/>
    <xf numFmtId="0" fontId="5" fillId="0" borderId="0" xfId="7" applyFont="1" applyAlignment="1">
      <alignment horizontal="center"/>
    </xf>
    <xf numFmtId="4" fontId="4" fillId="0" borderId="0" xfId="7" applyNumberFormat="1" applyFont="1" applyAlignment="1">
      <alignment horizontal="center"/>
    </xf>
    <xf numFmtId="4" fontId="4" fillId="0" borderId="0" xfId="8" applyNumberFormat="1" applyFont="1"/>
    <xf numFmtId="4" fontId="5" fillId="0" borderId="0" xfId="8" applyNumberFormat="1" applyFont="1"/>
    <xf numFmtId="4" fontId="4" fillId="0" borderId="0" xfId="4" applyNumberFormat="1" applyFont="1"/>
    <xf numFmtId="10" fontId="4" fillId="0" borderId="0" xfId="4" applyNumberFormat="1" applyFont="1"/>
    <xf numFmtId="0" fontId="4" fillId="0" borderId="0" xfId="5" applyFont="1"/>
    <xf numFmtId="4" fontId="5" fillId="0" borderId="0" xfId="4" applyNumberFormat="1" applyFont="1"/>
    <xf numFmtId="10" fontId="5" fillId="0" borderId="0" xfId="4" applyNumberFormat="1" applyFont="1"/>
    <xf numFmtId="0" fontId="4" fillId="0" borderId="0" xfId="4" applyFont="1" applyAlignment="1">
      <alignment wrapText="1"/>
    </xf>
    <xf numFmtId="0" fontId="4" fillId="0" borderId="0" xfId="5" applyFont="1" applyAlignment="1">
      <alignment wrapText="1"/>
    </xf>
    <xf numFmtId="4" fontId="4" fillId="0" borderId="0" xfId="6" applyNumberFormat="1" applyFont="1"/>
    <xf numFmtId="0" fontId="4" fillId="0" borderId="0" xfId="5" applyFont="1" applyAlignment="1">
      <alignment horizontal="right"/>
    </xf>
    <xf numFmtId="4" fontId="4" fillId="0" borderId="0" xfId="5" applyNumberFormat="1" applyFont="1"/>
    <xf numFmtId="0" fontId="5" fillId="0" borderId="0" xfId="4" applyFont="1" applyAlignment="1">
      <alignment wrapText="1"/>
    </xf>
    <xf numFmtId="0" fontId="4" fillId="0" borderId="0" xfId="5" applyFont="1" applyAlignment="1">
      <alignment vertical="center" wrapText="1"/>
    </xf>
    <xf numFmtId="4" fontId="4" fillId="0" borderId="0" xfId="4" applyNumberFormat="1" applyFont="1" applyAlignment="1">
      <alignment horizontal="right"/>
    </xf>
    <xf numFmtId="0" fontId="5" fillId="0" borderId="0" xfId="5" applyFont="1"/>
    <xf numFmtId="4" fontId="5" fillId="0" borderId="0" xfId="9" applyNumberFormat="1" applyFont="1" applyAlignment="1">
      <alignment horizontal="center"/>
    </xf>
    <xf numFmtId="0" fontId="5" fillId="0" borderId="0" xfId="9" applyFont="1" applyAlignment="1">
      <alignment horizontal="center"/>
    </xf>
    <xf numFmtId="4" fontId="4" fillId="0" borderId="0" xfId="9" applyNumberFormat="1" applyFont="1" applyAlignment="1">
      <alignment horizontal="center"/>
    </xf>
    <xf numFmtId="4" fontId="5" fillId="0" borderId="0" xfId="10" applyNumberFormat="1" applyFont="1"/>
    <xf numFmtId="4" fontId="4" fillId="0" borderId="0" xfId="10" applyNumberFormat="1" applyFont="1"/>
    <xf numFmtId="4" fontId="5" fillId="0" borderId="0" xfId="10" applyNumberFormat="1" applyFont="1" applyAlignment="1">
      <alignment horizontal="center"/>
    </xf>
    <xf numFmtId="4" fontId="5" fillId="0" borderId="0" xfId="2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/>
    <xf numFmtId="49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2" fontId="7" fillId="0" borderId="0" xfId="4" applyNumberFormat="1" applyFont="1" applyAlignment="1">
      <alignment horizontal="center"/>
    </xf>
    <xf numFmtId="0" fontId="5" fillId="0" borderId="27" xfId="5" applyFont="1" applyBorder="1"/>
    <xf numFmtId="4" fontId="5" fillId="0" borderId="27" xfId="5" applyNumberFormat="1" applyFont="1" applyBorder="1"/>
    <xf numFmtId="10" fontId="5" fillId="0" borderId="27" xfId="5" applyNumberFormat="1" applyFont="1" applyBorder="1"/>
    <xf numFmtId="0" fontId="5" fillId="0" borderId="26" xfId="5" applyFont="1" applyBorder="1"/>
    <xf numFmtId="0" fontId="4" fillId="0" borderId="27" xfId="0" applyFont="1" applyBorder="1"/>
    <xf numFmtId="49" fontId="4" fillId="0" borderId="27" xfId="5" applyNumberFormat="1" applyFont="1" applyBorder="1" applyAlignment="1">
      <alignment horizontal="left"/>
    </xf>
    <xf numFmtId="0" fontId="4" fillId="0" borderId="27" xfId="5" applyFont="1" applyBorder="1" applyAlignment="1">
      <alignment horizontal="left"/>
    </xf>
    <xf numFmtId="0" fontId="9" fillId="0" borderId="0" xfId="0" applyFont="1"/>
    <xf numFmtId="49" fontId="9" fillId="0" borderId="0" xfId="2" applyNumberFormat="1" applyFont="1"/>
    <xf numFmtId="0" fontId="9" fillId="0" borderId="0" xfId="2" applyFont="1"/>
    <xf numFmtId="0" fontId="10" fillId="0" borderId="0" xfId="2" applyFont="1" applyAlignment="1">
      <alignment horizontal="left"/>
    </xf>
    <xf numFmtId="0" fontId="9" fillId="0" borderId="0" xfId="2" applyFont="1" applyAlignment="1">
      <alignment horizontal="center"/>
    </xf>
    <xf numFmtId="0" fontId="9" fillId="0" borderId="0" xfId="5" applyFont="1" applyAlignment="1">
      <alignment horizontal="left"/>
    </xf>
    <xf numFmtId="0" fontId="9" fillId="0" borderId="0" xfId="5" applyFont="1"/>
    <xf numFmtId="0" fontId="10" fillId="0" borderId="0" xfId="5" applyFont="1" applyAlignment="1">
      <alignment horizontal="center"/>
    </xf>
    <xf numFmtId="0" fontId="10" fillId="0" borderId="5" xfId="0" applyFont="1" applyBorder="1" applyAlignment="1">
      <alignment vertical="center" textRotation="90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5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8" xfId="2" applyFont="1" applyBorder="1" applyAlignment="1">
      <alignment horizontal="center" vertical="center" wrapText="1"/>
    </xf>
    <xf numFmtId="0" fontId="9" fillId="0" borderId="5" xfId="0" applyFont="1" applyBorder="1"/>
    <xf numFmtId="0" fontId="9" fillId="0" borderId="5" xfId="0" applyFont="1" applyBorder="1" applyAlignment="1">
      <alignment horizontal="center"/>
    </xf>
    <xf numFmtId="49" fontId="9" fillId="0" borderId="5" xfId="5" applyNumberFormat="1" applyFont="1" applyBorder="1" applyAlignment="1">
      <alignment horizontal="center" wrapText="1"/>
    </xf>
    <xf numFmtId="0" fontId="9" fillId="0" borderId="5" xfId="5" applyFont="1" applyBorder="1" applyAlignment="1">
      <alignment horizontal="center" wrapText="1"/>
    </xf>
    <xf numFmtId="0" fontId="9" fillId="0" borderId="6" xfId="5" applyFont="1" applyBorder="1" applyAlignment="1">
      <alignment horizontal="center"/>
    </xf>
    <xf numFmtId="0" fontId="9" fillId="0" borderId="5" xfId="5" applyFont="1" applyBorder="1" applyAlignment="1">
      <alignment horizontal="center"/>
    </xf>
    <xf numFmtId="0" fontId="9" fillId="0" borderId="5" xfId="0" applyFont="1" applyBorder="1" applyAlignment="1">
      <alignment wrapText="1"/>
    </xf>
    <xf numFmtId="49" fontId="9" fillId="0" borderId="5" xfId="0" applyNumberFormat="1" applyFont="1" applyBorder="1" applyAlignment="1">
      <alignment wrapText="1"/>
    </xf>
    <xf numFmtId="49" fontId="9" fillId="0" borderId="5" xfId="5" applyNumberFormat="1" applyFont="1" applyBorder="1" applyAlignment="1">
      <alignment horizontal="center"/>
    </xf>
    <xf numFmtId="0" fontId="10" fillId="0" borderId="5" xfId="5" applyFont="1" applyBorder="1"/>
    <xf numFmtId="0" fontId="10" fillId="0" borderId="6" xfId="5" applyFont="1" applyBorder="1" applyAlignment="1">
      <alignment wrapText="1"/>
    </xf>
    <xf numFmtId="0" fontId="9" fillId="0" borderId="5" xfId="5" applyFont="1" applyBorder="1"/>
    <xf numFmtId="0" fontId="9" fillId="0" borderId="6" xfId="5" applyFont="1" applyBorder="1"/>
    <xf numFmtId="4" fontId="10" fillId="0" borderId="5" xfId="5" applyNumberFormat="1" applyFont="1" applyBorder="1"/>
    <xf numFmtId="0" fontId="10" fillId="0" borderId="6" xfId="5" applyFont="1" applyBorder="1"/>
    <xf numFmtId="49" fontId="9" fillId="0" borderId="5" xfId="0" applyNumberFormat="1" applyFont="1" applyBorder="1" applyAlignment="1">
      <alignment horizontal="left" wrapText="1"/>
    </xf>
    <xf numFmtId="0" fontId="9" fillId="0" borderId="5" xfId="5" applyFont="1" applyBorder="1" applyAlignment="1">
      <alignment horizontal="right"/>
    </xf>
    <xf numFmtId="49" fontId="9" fillId="0" borderId="5" xfId="1" applyNumberFormat="1" applyFont="1" applyBorder="1" applyAlignment="1">
      <alignment horizontal="center"/>
    </xf>
    <xf numFmtId="4" fontId="9" fillId="0" borderId="5" xfId="5" applyNumberFormat="1" applyFont="1" applyBorder="1"/>
    <xf numFmtId="4" fontId="9" fillId="0" borderId="6" xfId="5" applyNumberFormat="1" applyFont="1" applyBorder="1"/>
    <xf numFmtId="10" fontId="9" fillId="0" borderId="5" xfId="5" applyNumberFormat="1" applyFont="1" applyBorder="1"/>
    <xf numFmtId="0" fontId="9" fillId="0" borderId="6" xfId="5" applyFont="1" applyBorder="1" applyAlignment="1">
      <alignment wrapText="1"/>
    </xf>
    <xf numFmtId="49" fontId="9" fillId="0" borderId="5" xfId="5" applyNumberFormat="1" applyFont="1" applyBorder="1" applyAlignment="1">
      <alignment horizontal="left"/>
    </xf>
    <xf numFmtId="0" fontId="9" fillId="0" borderId="5" xfId="5" applyFont="1" applyBorder="1" applyAlignment="1">
      <alignment horizontal="left"/>
    </xf>
    <xf numFmtId="10" fontId="10" fillId="0" borderId="5" xfId="5" applyNumberFormat="1" applyFont="1" applyBorder="1"/>
    <xf numFmtId="4" fontId="10" fillId="0" borderId="6" xfId="5" applyNumberFormat="1" applyFont="1" applyBorder="1"/>
    <xf numFmtId="0" fontId="9" fillId="0" borderId="9" xfId="0" applyFont="1" applyBorder="1" applyAlignment="1">
      <alignment wrapText="1"/>
    </xf>
    <xf numFmtId="49" fontId="9" fillId="0" borderId="9" xfId="0" applyNumberFormat="1" applyFont="1" applyBorder="1" applyAlignment="1">
      <alignment wrapText="1"/>
    </xf>
    <xf numFmtId="0" fontId="9" fillId="0" borderId="9" xfId="0" applyFont="1" applyBorder="1"/>
    <xf numFmtId="49" fontId="9" fillId="0" borderId="9" xfId="5" applyNumberFormat="1" applyFont="1" applyBorder="1" applyAlignment="1">
      <alignment horizontal="left"/>
    </xf>
    <xf numFmtId="0" fontId="10" fillId="0" borderId="9" xfId="5" applyFont="1" applyBorder="1"/>
    <xf numFmtId="0" fontId="9" fillId="0" borderId="9" xfId="5" applyFont="1" applyBorder="1" applyAlignment="1">
      <alignment horizontal="left"/>
    </xf>
    <xf numFmtId="0" fontId="11" fillId="0" borderId="5" xfId="5" applyFont="1" applyBorder="1"/>
    <xf numFmtId="49" fontId="11" fillId="0" borderId="5" xfId="1" applyNumberFormat="1" applyFont="1" applyBorder="1" applyAlignment="1">
      <alignment horizontal="center"/>
    </xf>
    <xf numFmtId="0" fontId="11" fillId="0" borderId="6" xfId="5" applyFont="1" applyBorder="1" applyAlignment="1">
      <alignment wrapText="1"/>
    </xf>
    <xf numFmtId="49" fontId="10" fillId="0" borderId="5" xfId="5" applyNumberFormat="1" applyFont="1" applyBorder="1" applyAlignment="1">
      <alignment horizontal="left"/>
    </xf>
    <xf numFmtId="0" fontId="10" fillId="0" borderId="5" xfId="5" applyFont="1" applyBorder="1" applyAlignment="1">
      <alignment horizontal="left"/>
    </xf>
    <xf numFmtId="4" fontId="9" fillId="0" borderId="9" xfId="5" applyNumberFormat="1" applyFont="1" applyBorder="1"/>
    <xf numFmtId="4" fontId="9" fillId="0" borderId="11" xfId="5" applyNumberFormat="1" applyFont="1" applyBorder="1"/>
    <xf numFmtId="0" fontId="10" fillId="0" borderId="11" xfId="5" applyFont="1" applyBorder="1" applyAlignment="1">
      <alignment wrapText="1"/>
    </xf>
    <xf numFmtId="4" fontId="10" fillId="0" borderId="0" xfId="5" applyNumberFormat="1" applyFont="1"/>
    <xf numFmtId="10" fontId="10" fillId="0" borderId="0" xfId="5" applyNumberFormat="1" applyFont="1"/>
    <xf numFmtId="49" fontId="9" fillId="0" borderId="0" xfId="5" applyNumberFormat="1" applyFont="1" applyAlignment="1">
      <alignment horizontal="center"/>
    </xf>
    <xf numFmtId="0" fontId="10" fillId="0" borderId="0" xfId="5" applyFont="1"/>
    <xf numFmtId="0" fontId="10" fillId="0" borderId="0" xfId="5" applyFont="1" applyAlignment="1">
      <alignment wrapText="1"/>
    </xf>
    <xf numFmtId="0" fontId="9" fillId="0" borderId="0" xfId="5" applyFont="1" applyAlignment="1">
      <alignment horizontal="center"/>
    </xf>
    <xf numFmtId="3" fontId="9" fillId="0" borderId="0" xfId="5" applyNumberFormat="1" applyFont="1"/>
    <xf numFmtId="49" fontId="9" fillId="0" borderId="0" xfId="5" applyNumberFormat="1" applyFont="1" applyAlignment="1">
      <alignment wrapText="1"/>
    </xf>
    <xf numFmtId="0" fontId="9" fillId="0" borderId="0" xfId="5" applyFont="1" applyAlignment="1">
      <alignment wrapText="1"/>
    </xf>
    <xf numFmtId="0" fontId="10" fillId="0" borderId="0" xfId="5" applyFont="1" applyAlignment="1">
      <alignment horizontal="left"/>
    </xf>
    <xf numFmtId="4" fontId="11" fillId="0" borderId="5" xfId="5" applyNumberFormat="1" applyFont="1" applyBorder="1"/>
    <xf numFmtId="0" fontId="9" fillId="0" borderId="6" xfId="5" applyFont="1" applyBorder="1" applyAlignment="1">
      <alignment vertical="center" wrapText="1"/>
    </xf>
    <xf numFmtId="0" fontId="9" fillId="0" borderId="8" xfId="0" applyFont="1" applyBorder="1"/>
    <xf numFmtId="0" fontId="9" fillId="0" borderId="27" xfId="0" applyFont="1" applyBorder="1"/>
    <xf numFmtId="49" fontId="9" fillId="0" borderId="27" xfId="5" applyNumberFormat="1" applyFont="1" applyBorder="1" applyAlignment="1">
      <alignment horizontal="left"/>
    </xf>
    <xf numFmtId="0" fontId="10" fillId="0" borderId="27" xfId="5" applyFont="1" applyBorder="1"/>
    <xf numFmtId="0" fontId="9" fillId="0" borderId="27" xfId="5" applyFont="1" applyBorder="1" applyAlignment="1">
      <alignment horizontal="left"/>
    </xf>
    <xf numFmtId="4" fontId="10" fillId="0" borderId="27" xfId="5" applyNumberFormat="1" applyFont="1" applyBorder="1"/>
    <xf numFmtId="10" fontId="10" fillId="0" borderId="27" xfId="5" applyNumberFormat="1" applyFont="1" applyBorder="1"/>
    <xf numFmtId="49" fontId="10" fillId="0" borderId="5" xfId="5" applyNumberFormat="1" applyFont="1" applyBorder="1" applyAlignment="1">
      <alignment horizontal="center" vertical="center" textRotation="90" wrapText="1"/>
    </xf>
    <xf numFmtId="0" fontId="10" fillId="0" borderId="5" xfId="5" applyFont="1" applyBorder="1" applyAlignment="1">
      <alignment horizontal="center" vertical="center" textRotation="90" wrapText="1"/>
    </xf>
    <xf numFmtId="49" fontId="9" fillId="0" borderId="9" xfId="1" applyNumberFormat="1" applyFont="1" applyBorder="1" applyAlignment="1">
      <alignment horizontal="center"/>
    </xf>
    <xf numFmtId="4" fontId="10" fillId="0" borderId="9" xfId="5" applyNumberFormat="1" applyFont="1" applyBorder="1"/>
    <xf numFmtId="4" fontId="10" fillId="0" borderId="11" xfId="5" applyNumberFormat="1" applyFont="1" applyBorder="1"/>
    <xf numFmtId="10" fontId="9" fillId="0" borderId="9" xfId="5" applyNumberFormat="1" applyFont="1" applyBorder="1"/>
    <xf numFmtId="49" fontId="9" fillId="0" borderId="0" xfId="5" applyNumberFormat="1" applyFont="1" applyAlignment="1">
      <alignment horizontal="left"/>
    </xf>
    <xf numFmtId="49" fontId="9" fillId="0" borderId="0" xfId="1" applyNumberFormat="1" applyFont="1" applyAlignment="1">
      <alignment horizontal="center"/>
    </xf>
    <xf numFmtId="0" fontId="10" fillId="0" borderId="11" xfId="5" applyFont="1" applyBorder="1" applyAlignment="1">
      <alignment vertical="center" wrapText="1"/>
    </xf>
    <xf numFmtId="0" fontId="9" fillId="0" borderId="26" xfId="0" applyFont="1" applyBorder="1"/>
    <xf numFmtId="49" fontId="9" fillId="0" borderId="26" xfId="5" applyNumberFormat="1" applyFont="1" applyBorder="1" applyAlignment="1">
      <alignment horizontal="left"/>
    </xf>
    <xf numFmtId="0" fontId="10" fillId="0" borderId="26" xfId="5" applyFont="1" applyBorder="1"/>
    <xf numFmtId="49" fontId="9" fillId="0" borderId="26" xfId="1" applyNumberFormat="1" applyFont="1" applyBorder="1" applyAlignment="1">
      <alignment horizontal="center"/>
    </xf>
    <xf numFmtId="4" fontId="10" fillId="0" borderId="26" xfId="5" applyNumberFormat="1" applyFont="1" applyBorder="1"/>
    <xf numFmtId="10" fontId="10" fillId="0" borderId="26" xfId="5" applyNumberFormat="1" applyFont="1" applyBorder="1"/>
    <xf numFmtId="0" fontId="9" fillId="0" borderId="26" xfId="5" applyFont="1" applyBorder="1" applyAlignment="1">
      <alignment horizontal="left"/>
    </xf>
    <xf numFmtId="49" fontId="9" fillId="0" borderId="0" xfId="0" applyNumberFormat="1" applyFont="1" applyAlignment="1">
      <alignment wrapText="1"/>
    </xf>
    <xf numFmtId="0" fontId="9" fillId="0" borderId="0" xfId="5" applyFont="1" applyAlignment="1">
      <alignment horizontal="right"/>
    </xf>
    <xf numFmtId="0" fontId="13" fillId="0" borderId="6" xfId="5" applyFont="1" applyBorder="1"/>
    <xf numFmtId="4" fontId="13" fillId="0" borderId="5" xfId="5" applyNumberFormat="1" applyFont="1" applyBorder="1"/>
    <xf numFmtId="0" fontId="6" fillId="0" borderId="6" xfId="5" applyFont="1" applyBorder="1"/>
    <xf numFmtId="0" fontId="6" fillId="0" borderId="5" xfId="5" applyFont="1" applyBorder="1"/>
    <xf numFmtId="4" fontId="6" fillId="0" borderId="5" xfId="5" applyNumberFormat="1" applyFont="1" applyBorder="1"/>
    <xf numFmtId="10" fontId="6" fillId="0" borderId="5" xfId="5" applyNumberFormat="1" applyFont="1" applyBorder="1"/>
    <xf numFmtId="0" fontId="6" fillId="0" borderId="17" xfId="5" applyFont="1" applyBorder="1" applyAlignment="1">
      <alignment wrapText="1"/>
    </xf>
    <xf numFmtId="4" fontId="6" fillId="0" borderId="11" xfId="5" applyNumberFormat="1" applyFont="1" applyBorder="1"/>
    <xf numFmtId="10" fontId="6" fillId="0" borderId="11" xfId="5" applyNumberFormat="1" applyFont="1" applyBorder="1"/>
    <xf numFmtId="0" fontId="10" fillId="0" borderId="0" xfId="7" applyFont="1"/>
    <xf numFmtId="4" fontId="10" fillId="0" borderId="0" xfId="7" applyNumberFormat="1" applyFont="1"/>
    <xf numFmtId="0" fontId="10" fillId="0" borderId="0" xfId="7" applyFont="1" applyAlignment="1">
      <alignment horizontal="center"/>
    </xf>
    <xf numFmtId="0" fontId="9" fillId="0" borderId="0" xfId="7" applyFont="1"/>
    <xf numFmtId="0" fontId="10" fillId="0" borderId="1" xfId="7" applyFont="1" applyBorder="1" applyAlignment="1">
      <alignment horizontal="center" vertical="center" wrapText="1"/>
    </xf>
    <xf numFmtId="0" fontId="10" fillId="0" borderId="4" xfId="7" applyFont="1" applyBorder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9" fillId="0" borderId="1" xfId="7" applyFont="1" applyBorder="1" applyAlignment="1">
      <alignment horizontal="center"/>
    </xf>
    <xf numFmtId="0" fontId="9" fillId="0" borderId="14" xfId="7" applyFont="1" applyBorder="1" applyAlignment="1">
      <alignment horizontal="center"/>
    </xf>
    <xf numFmtId="0" fontId="9" fillId="0" borderId="5" xfId="7" applyFont="1" applyBorder="1" applyAlignment="1">
      <alignment horizontal="center"/>
    </xf>
    <xf numFmtId="0" fontId="9" fillId="0" borderId="6" xfId="7" applyFont="1" applyBorder="1" applyAlignment="1">
      <alignment horizontal="center"/>
    </xf>
    <xf numFmtId="0" fontId="9" fillId="0" borderId="0" xfId="7" applyFont="1" applyAlignment="1">
      <alignment horizontal="center"/>
    </xf>
    <xf numFmtId="0" fontId="9" fillId="0" borderId="4" xfId="7" applyFont="1" applyBorder="1" applyAlignment="1">
      <alignment horizontal="center" wrapText="1"/>
    </xf>
    <xf numFmtId="0" fontId="9" fillId="0" borderId="5" xfId="7" applyFont="1" applyBorder="1"/>
    <xf numFmtId="4" fontId="9" fillId="0" borderId="5" xfId="8" applyNumberFormat="1" applyFont="1" applyBorder="1"/>
    <xf numFmtId="10" fontId="9" fillId="0" borderId="5" xfId="8" applyNumberFormat="1" applyFont="1" applyBorder="1"/>
    <xf numFmtId="10" fontId="9" fillId="0" borderId="0" xfId="8" applyNumberFormat="1" applyFont="1"/>
    <xf numFmtId="0" fontId="9" fillId="0" borderId="5" xfId="5" applyFont="1" applyBorder="1" applyAlignment="1">
      <alignment wrapText="1"/>
    </xf>
    <xf numFmtId="0" fontId="9" fillId="0" borderId="5" xfId="7" applyFont="1" applyBorder="1" applyAlignment="1">
      <alignment wrapText="1"/>
    </xf>
    <xf numFmtId="0" fontId="10" fillId="0" borderId="12" xfId="7" applyFont="1" applyBorder="1" applyAlignment="1">
      <alignment horizontal="center"/>
    </xf>
    <xf numFmtId="0" fontId="10" fillId="0" borderId="13" xfId="7" applyFont="1" applyBorder="1"/>
    <xf numFmtId="4" fontId="10" fillId="0" borderId="5" xfId="7" applyNumberFormat="1" applyFont="1" applyBorder="1"/>
    <xf numFmtId="10" fontId="10" fillId="0" borderId="5" xfId="8" applyNumberFormat="1" applyFont="1" applyBorder="1"/>
    <xf numFmtId="10" fontId="10" fillId="0" borderId="0" xfId="7" applyNumberFormat="1" applyFont="1"/>
    <xf numFmtId="0" fontId="9" fillId="0" borderId="0" xfId="4" applyFont="1"/>
    <xf numFmtId="4" fontId="9" fillId="0" borderId="0" xfId="4" applyNumberFormat="1" applyFont="1"/>
    <xf numFmtId="10" fontId="9" fillId="0" borderId="0" xfId="4" applyNumberFormat="1" applyFont="1"/>
    <xf numFmtId="0" fontId="10" fillId="0" borderId="0" xfId="9" applyFont="1"/>
    <xf numFmtId="4" fontId="10" fillId="0" borderId="0" xfId="9" applyNumberFormat="1" applyFont="1"/>
    <xf numFmtId="4" fontId="10" fillId="0" borderId="0" xfId="9" applyNumberFormat="1" applyFont="1" applyAlignment="1">
      <alignment horizontal="center"/>
    </xf>
    <xf numFmtId="0" fontId="9" fillId="0" borderId="0" xfId="9" applyFont="1"/>
    <xf numFmtId="0" fontId="10" fillId="0" borderId="0" xfId="9" applyFont="1" applyAlignment="1">
      <alignment horizontal="center"/>
    </xf>
    <xf numFmtId="0" fontId="10" fillId="0" borderId="1" xfId="9" applyFont="1" applyBorder="1" applyAlignment="1">
      <alignment horizontal="center" vertical="center" wrapText="1"/>
    </xf>
    <xf numFmtId="0" fontId="10" fillId="0" borderId="4" xfId="9" applyFont="1" applyBorder="1" applyAlignment="1">
      <alignment horizontal="center" vertical="center"/>
    </xf>
    <xf numFmtId="4" fontId="10" fillId="0" borderId="0" xfId="2" applyNumberFormat="1" applyFont="1" applyAlignment="1">
      <alignment horizontal="center" vertical="center" wrapText="1"/>
    </xf>
    <xf numFmtId="0" fontId="9" fillId="0" borderId="1" xfId="9" applyFont="1" applyBorder="1" applyAlignment="1">
      <alignment horizontal="center"/>
    </xf>
    <xf numFmtId="0" fontId="9" fillId="0" borderId="4" xfId="9" applyFont="1" applyBorder="1" applyAlignment="1">
      <alignment horizontal="center"/>
    </xf>
    <xf numFmtId="0" fontId="9" fillId="0" borderId="5" xfId="9" applyFont="1" applyBorder="1" applyAlignment="1">
      <alignment horizontal="center"/>
    </xf>
    <xf numFmtId="0" fontId="9" fillId="0" borderId="15" xfId="9" applyFont="1" applyBorder="1" applyAlignment="1">
      <alignment horizontal="center"/>
    </xf>
    <xf numFmtId="0" fontId="9" fillId="0" borderId="7" xfId="9" applyFont="1" applyBorder="1" applyAlignment="1">
      <alignment horizontal="center"/>
    </xf>
    <xf numFmtId="4" fontId="9" fillId="0" borderId="0" xfId="9" applyNumberFormat="1" applyFont="1" applyAlignment="1">
      <alignment horizontal="center"/>
    </xf>
    <xf numFmtId="49" fontId="10" fillId="0" borderId="1" xfId="9" applyNumberFormat="1" applyFont="1" applyBorder="1" applyAlignment="1">
      <alignment horizontal="center"/>
    </xf>
    <xf numFmtId="0" fontId="10" fillId="0" borderId="4" xfId="9" applyFont="1" applyBorder="1"/>
    <xf numFmtId="4" fontId="10" fillId="0" borderId="5" xfId="10" applyNumberFormat="1" applyFont="1" applyBorder="1"/>
    <xf numFmtId="10" fontId="10" fillId="0" borderId="5" xfId="10" applyNumberFormat="1" applyFont="1" applyBorder="1"/>
    <xf numFmtId="4" fontId="10" fillId="0" borderId="0" xfId="10" applyNumberFormat="1" applyFont="1"/>
    <xf numFmtId="49" fontId="9" fillId="0" borderId="1" xfId="9" applyNumberFormat="1" applyFont="1" applyBorder="1" applyAlignment="1">
      <alignment horizontal="center"/>
    </xf>
    <xf numFmtId="0" fontId="9" fillId="0" borderId="4" xfId="9" applyFont="1" applyBorder="1"/>
    <xf numFmtId="4" fontId="9" fillId="0" borderId="5" xfId="10" applyNumberFormat="1" applyFont="1" applyBorder="1"/>
    <xf numFmtId="10" fontId="9" fillId="0" borderId="5" xfId="10" applyNumberFormat="1" applyFont="1" applyBorder="1"/>
    <xf numFmtId="4" fontId="9" fillId="0" borderId="0" xfId="10" applyNumberFormat="1" applyFont="1"/>
    <xf numFmtId="0" fontId="9" fillId="0" borderId="4" xfId="5" applyFont="1" applyBorder="1" applyAlignment="1">
      <alignment wrapText="1"/>
    </xf>
    <xf numFmtId="0" fontId="9" fillId="0" borderId="4" xfId="5" applyFont="1" applyBorder="1"/>
    <xf numFmtId="4" fontId="10" fillId="0" borderId="0" xfId="10" applyNumberFormat="1" applyFont="1" applyAlignment="1">
      <alignment horizontal="center"/>
    </xf>
    <xf numFmtId="0" fontId="10" fillId="0" borderId="4" xfId="5" applyFont="1" applyBorder="1"/>
    <xf numFmtId="0" fontId="10" fillId="0" borderId="1" xfId="9" applyFont="1" applyBorder="1"/>
    <xf numFmtId="0" fontId="10" fillId="0" borderId="0" xfId="4" applyFont="1"/>
    <xf numFmtId="0" fontId="10" fillId="0" borderId="0" xfId="4" applyFont="1" applyAlignment="1">
      <alignment horizontal="center"/>
    </xf>
    <xf numFmtId="2" fontId="10" fillId="0" borderId="0" xfId="4" applyNumberFormat="1" applyFont="1" applyAlignment="1">
      <alignment horizontal="center" wrapText="1"/>
    </xf>
    <xf numFmtId="0" fontId="10" fillId="0" borderId="1" xfId="4" applyFont="1" applyBorder="1" applyAlignment="1">
      <alignment vertical="center" wrapText="1"/>
    </xf>
    <xf numFmtId="0" fontId="10" fillId="0" borderId="4" xfId="4" applyFont="1" applyBorder="1" applyAlignment="1">
      <alignment horizontal="center" vertical="center" wrapText="1"/>
    </xf>
    <xf numFmtId="0" fontId="10" fillId="0" borderId="4" xfId="4" applyFont="1" applyBorder="1" applyAlignment="1">
      <alignment horizontal="center" vertical="center"/>
    </xf>
    <xf numFmtId="2" fontId="10" fillId="0" borderId="0" xfId="4" applyNumberFormat="1" applyFont="1" applyAlignment="1">
      <alignment horizontal="center" vertical="center" wrapText="1"/>
    </xf>
    <xf numFmtId="0" fontId="9" fillId="0" borderId="3" xfId="4" applyFont="1" applyBorder="1" applyAlignment="1">
      <alignment horizontal="center"/>
    </xf>
    <xf numFmtId="0" fontId="9" fillId="0" borderId="14" xfId="4" applyFont="1" applyBorder="1" applyAlignment="1">
      <alignment horizontal="center"/>
    </xf>
    <xf numFmtId="0" fontId="9" fillId="0" borderId="7" xfId="4" applyFont="1" applyBorder="1" applyAlignment="1">
      <alignment horizontal="center"/>
    </xf>
    <xf numFmtId="0" fontId="9" fillId="0" borderId="15" xfId="7" applyFont="1" applyBorder="1" applyAlignment="1">
      <alignment horizontal="center"/>
    </xf>
    <xf numFmtId="0" fontId="9" fillId="0" borderId="7" xfId="7" applyFont="1" applyBorder="1" applyAlignment="1">
      <alignment horizontal="center"/>
    </xf>
    <xf numFmtId="2" fontId="9" fillId="0" borderId="0" xfId="4" applyNumberFormat="1" applyFont="1" applyAlignment="1">
      <alignment horizontal="center"/>
    </xf>
    <xf numFmtId="0" fontId="10" fillId="0" borderId="5" xfId="4" applyFont="1" applyBorder="1"/>
    <xf numFmtId="0" fontId="9" fillId="0" borderId="5" xfId="4" applyFont="1" applyBorder="1"/>
    <xf numFmtId="4" fontId="10" fillId="0" borderId="5" xfId="4" applyNumberFormat="1" applyFont="1" applyBorder="1"/>
    <xf numFmtId="10" fontId="10" fillId="0" borderId="5" xfId="4" applyNumberFormat="1" applyFont="1" applyBorder="1"/>
    <xf numFmtId="2" fontId="10" fillId="0" borderId="0" xfId="4" applyNumberFormat="1" applyFont="1" applyAlignment="1">
      <alignment horizontal="center"/>
    </xf>
    <xf numFmtId="4" fontId="9" fillId="0" borderId="5" xfId="4" applyNumberFormat="1" applyFont="1" applyBorder="1"/>
    <xf numFmtId="10" fontId="9" fillId="0" borderId="5" xfId="4" applyNumberFormat="1" applyFont="1" applyBorder="1"/>
    <xf numFmtId="0" fontId="9" fillId="0" borderId="5" xfId="4" applyFont="1" applyBorder="1" applyAlignment="1">
      <alignment wrapText="1"/>
    </xf>
    <xf numFmtId="0" fontId="9" fillId="0" borderId="0" xfId="4" applyFont="1" applyAlignment="1">
      <alignment horizontal="left" vertical="center" wrapText="1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/>
    </xf>
    <xf numFmtId="0" fontId="10" fillId="0" borderId="16" xfId="2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2" xfId="7" applyFont="1" applyBorder="1" applyAlignment="1">
      <alignment horizontal="center"/>
    </xf>
    <xf numFmtId="0" fontId="10" fillId="0" borderId="1" xfId="1" applyFont="1" applyBorder="1"/>
    <xf numFmtId="0" fontId="10" fillId="0" borderId="4" xfId="1" applyFont="1" applyBorder="1"/>
    <xf numFmtId="4" fontId="10" fillId="0" borderId="5" xfId="1" applyNumberFormat="1" applyFont="1" applyBorder="1"/>
    <xf numFmtId="10" fontId="10" fillId="0" borderId="6" xfId="1" applyNumberFormat="1" applyFont="1" applyBorder="1"/>
    <xf numFmtId="0" fontId="9" fillId="0" borderId="1" xfId="1" applyFont="1" applyBorder="1"/>
    <xf numFmtId="0" fontId="9" fillId="0" borderId="4" xfId="1" applyFont="1" applyBorder="1"/>
    <xf numFmtId="4" fontId="9" fillId="0" borderId="5" xfId="1" applyNumberFormat="1" applyFont="1" applyBorder="1"/>
    <xf numFmtId="10" fontId="9" fillId="0" borderId="6" xfId="1" applyNumberFormat="1" applyFont="1" applyBorder="1"/>
    <xf numFmtId="0" fontId="9" fillId="0" borderId="4" xfId="1" applyFont="1" applyBorder="1" applyAlignment="1">
      <alignment wrapText="1"/>
    </xf>
    <xf numFmtId="0" fontId="10" fillId="0" borderId="4" xfId="1" applyFont="1" applyBorder="1" applyAlignment="1">
      <alignment wrapText="1"/>
    </xf>
    <xf numFmtId="0" fontId="10" fillId="0" borderId="3" xfId="1" applyFont="1" applyBorder="1"/>
    <xf numFmtId="0" fontId="10" fillId="0" borderId="14" xfId="1" applyFont="1" applyBorder="1"/>
    <xf numFmtId="4" fontId="10" fillId="0" borderId="7" xfId="1" applyNumberFormat="1" applyFont="1" applyBorder="1"/>
    <xf numFmtId="10" fontId="10" fillId="0" borderId="15" xfId="1" applyNumberFormat="1" applyFont="1" applyBorder="1"/>
    <xf numFmtId="0" fontId="9" fillId="0" borderId="5" xfId="1" applyFont="1" applyBorder="1"/>
    <xf numFmtId="10" fontId="9" fillId="0" borderId="5" xfId="1" applyNumberFormat="1" applyFont="1" applyBorder="1"/>
    <xf numFmtId="0" fontId="10" fillId="0" borderId="18" xfId="1" applyFont="1" applyBorder="1"/>
    <xf numFmtId="0" fontId="10" fillId="0" borderId="19" xfId="1" applyFont="1" applyBorder="1"/>
    <xf numFmtId="4" fontId="10" fillId="0" borderId="20" xfId="1" applyNumberFormat="1" applyFont="1" applyBorder="1"/>
    <xf numFmtId="4" fontId="10" fillId="0" borderId="9" xfId="1" applyNumberFormat="1" applyFont="1" applyBorder="1"/>
    <xf numFmtId="10" fontId="10" fillId="0" borderId="11" xfId="1" applyNumberFormat="1" applyFont="1" applyBorder="1"/>
    <xf numFmtId="0" fontId="10" fillId="0" borderId="5" xfId="1" applyFont="1" applyBorder="1"/>
    <xf numFmtId="0" fontId="10" fillId="0" borderId="5" xfId="1" applyFont="1" applyBorder="1" applyAlignment="1">
      <alignment wrapText="1"/>
    </xf>
    <xf numFmtId="4" fontId="9" fillId="0" borderId="5" xfId="3" applyNumberFormat="1" applyFont="1" applyBorder="1"/>
    <xf numFmtId="0" fontId="9" fillId="0" borderId="10" xfId="1" applyFont="1" applyBorder="1"/>
    <xf numFmtId="0" fontId="9" fillId="0" borderId="12" xfId="1" applyFont="1" applyBorder="1"/>
    <xf numFmtId="4" fontId="9" fillId="0" borderId="9" xfId="3" applyNumberFormat="1" applyFont="1" applyBorder="1"/>
    <xf numFmtId="49" fontId="10" fillId="0" borderId="5" xfId="1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" fontId="10" fillId="0" borderId="5" xfId="3" applyNumberFormat="1" applyFont="1" applyBorder="1"/>
    <xf numFmtId="0" fontId="9" fillId="0" borderId="21" xfId="1" applyFont="1" applyBorder="1"/>
    <xf numFmtId="0" fontId="9" fillId="0" borderId="22" xfId="1" applyFont="1" applyBorder="1"/>
    <xf numFmtId="0" fontId="9" fillId="0" borderId="3" xfId="1" applyFont="1" applyBorder="1"/>
    <xf numFmtId="0" fontId="9" fillId="0" borderId="14" xfId="1" applyFont="1" applyBorder="1"/>
    <xf numFmtId="0" fontId="10" fillId="0" borderId="10" xfId="1" applyFont="1" applyBorder="1"/>
    <xf numFmtId="0" fontId="10" fillId="0" borderId="12" xfId="1" applyFont="1" applyBorder="1"/>
    <xf numFmtId="0" fontId="14" fillId="0" borderId="0" xfId="0" applyFont="1"/>
    <xf numFmtId="0" fontId="11" fillId="0" borderId="0" xfId="0" applyFont="1"/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/>
    <xf numFmtId="0" fontId="11" fillId="0" borderId="24" xfId="0" applyFont="1" applyBorder="1"/>
    <xf numFmtId="0" fontId="6" fillId="0" borderId="24" xfId="0" applyFont="1" applyBorder="1"/>
    <xf numFmtId="4" fontId="11" fillId="0" borderId="7" xfId="0" applyNumberFormat="1" applyFont="1" applyBorder="1"/>
    <xf numFmtId="4" fontId="6" fillId="0" borderId="5" xfId="0" applyNumberFormat="1" applyFont="1" applyBorder="1"/>
    <xf numFmtId="0" fontId="6" fillId="0" borderId="5" xfId="0" applyFont="1" applyBorder="1"/>
    <xf numFmtId="0" fontId="6" fillId="0" borderId="27" xfId="0" applyFont="1" applyBorder="1"/>
    <xf numFmtId="0" fontId="6" fillId="0" borderId="20" xfId="0" applyFont="1" applyBorder="1"/>
    <xf numFmtId="4" fontId="6" fillId="0" borderId="20" xfId="0" applyNumberFormat="1" applyFont="1" applyBorder="1"/>
    <xf numFmtId="4" fontId="6" fillId="0" borderId="7" xfId="0" applyNumberFormat="1" applyFont="1" applyBorder="1"/>
    <xf numFmtId="0" fontId="11" fillId="0" borderId="27" xfId="0" applyFont="1" applyBorder="1"/>
    <xf numFmtId="4" fontId="11" fillId="0" borderId="5" xfId="0" applyNumberFormat="1" applyFont="1" applyBorder="1"/>
    <xf numFmtId="4" fontId="11" fillId="0" borderId="6" xfId="0" applyNumberFormat="1" applyFont="1" applyBorder="1"/>
    <xf numFmtId="4" fontId="11" fillId="0" borderId="20" xfId="0" applyNumberFormat="1" applyFont="1" applyBorder="1"/>
    <xf numFmtId="0" fontId="6" fillId="0" borderId="9" xfId="0" applyFont="1" applyBorder="1"/>
    <xf numFmtId="0" fontId="11" fillId="0" borderId="26" xfId="0" applyFont="1" applyBorder="1"/>
    <xf numFmtId="4" fontId="11" fillId="0" borderId="9" xfId="0" applyNumberFormat="1" applyFont="1" applyBorder="1"/>
    <xf numFmtId="0" fontId="11" fillId="0" borderId="8" xfId="0" applyFont="1" applyBorder="1"/>
    <xf numFmtId="4" fontId="15" fillId="0" borderId="5" xfId="10" applyNumberFormat="1" applyFont="1" applyBorder="1"/>
    <xf numFmtId="0" fontId="6" fillId="0" borderId="5" xfId="4" applyFont="1" applyBorder="1"/>
    <xf numFmtId="4" fontId="6" fillId="0" borderId="5" xfId="4" applyNumberFormat="1" applyFont="1" applyBorder="1"/>
    <xf numFmtId="10" fontId="6" fillId="0" borderId="5" xfId="4" applyNumberFormat="1" applyFont="1" applyBorder="1"/>
    <xf numFmtId="49" fontId="6" fillId="0" borderId="5" xfId="0" applyNumberFormat="1" applyFont="1" applyBorder="1" applyAlignment="1">
      <alignment horizontal="left" wrapText="1"/>
    </xf>
    <xf numFmtId="0" fontId="11" fillId="0" borderId="6" xfId="5" applyFont="1" applyBorder="1"/>
    <xf numFmtId="4" fontId="11" fillId="0" borderId="25" xfId="0" applyNumberFormat="1" applyFont="1" applyBorder="1"/>
    <xf numFmtId="4" fontId="11" fillId="0" borderId="13" xfId="0" applyNumberFormat="1" applyFont="1" applyBorder="1"/>
    <xf numFmtId="0" fontId="10" fillId="0" borderId="26" xfId="1" applyFont="1" applyBorder="1" applyAlignment="1">
      <alignment horizontal="center"/>
    </xf>
    <xf numFmtId="0" fontId="9" fillId="0" borderId="26" xfId="4" applyFont="1" applyBorder="1"/>
    <xf numFmtId="0" fontId="10" fillId="0" borderId="26" xfId="7" applyFont="1" applyBorder="1"/>
    <xf numFmtId="0" fontId="10" fillId="0" borderId="29" xfId="2" applyFont="1" applyBorder="1" applyAlignment="1">
      <alignment horizontal="center" vertical="center" wrapText="1"/>
    </xf>
    <xf numFmtId="4" fontId="10" fillId="0" borderId="26" xfId="9" applyNumberFormat="1" applyFont="1" applyBorder="1" applyAlignment="1">
      <alignment horizontal="center"/>
    </xf>
    <xf numFmtId="0" fontId="10" fillId="0" borderId="9" xfId="2" applyFont="1" applyBorder="1" applyAlignment="1">
      <alignment horizontal="center" vertical="center" wrapText="1"/>
    </xf>
    <xf numFmtId="0" fontId="9" fillId="0" borderId="26" xfId="5" applyFont="1" applyBorder="1"/>
    <xf numFmtId="0" fontId="6" fillId="0" borderId="6" xfId="0" applyFont="1" applyBorder="1"/>
    <xf numFmtId="4" fontId="6" fillId="0" borderId="9" xfId="0" applyNumberFormat="1" applyFont="1" applyBorder="1"/>
    <xf numFmtId="0" fontId="16" fillId="0" borderId="10" xfId="1" applyFont="1" applyBorder="1"/>
    <xf numFmtId="4" fontId="9" fillId="0" borderId="6" xfId="8" applyNumberFormat="1" applyFont="1" applyBorder="1"/>
    <xf numFmtId="4" fontId="9" fillId="0" borderId="30" xfId="8" applyNumberFormat="1" applyFont="1" applyBorder="1"/>
    <xf numFmtId="4" fontId="9" fillId="0" borderId="31" xfId="8" applyNumberFormat="1" applyFont="1" applyBorder="1"/>
    <xf numFmtId="4" fontId="9" fillId="0" borderId="32" xfId="8" applyNumberFormat="1" applyFont="1" applyBorder="1"/>
    <xf numFmtId="4" fontId="9" fillId="0" borderId="33" xfId="8" applyNumberFormat="1" applyFont="1" applyBorder="1"/>
    <xf numFmtId="4" fontId="10" fillId="0" borderId="33" xfId="8" applyNumberFormat="1" applyFont="1" applyBorder="1"/>
    <xf numFmtId="10" fontId="10" fillId="0" borderId="24" xfId="5" applyNumberFormat="1" applyFont="1" applyBorder="1"/>
    <xf numFmtId="4" fontId="9" fillId="0" borderId="26" xfId="5" applyNumberFormat="1" applyFont="1" applyBorder="1"/>
    <xf numFmtId="4" fontId="9" fillId="0" borderId="24" xfId="5" applyNumberFormat="1" applyFont="1" applyBorder="1"/>
    <xf numFmtId="4" fontId="9" fillId="0" borderId="0" xfId="5" applyNumberFormat="1" applyFont="1"/>
    <xf numFmtId="4" fontId="9" fillId="0" borderId="27" xfId="5" applyNumberFormat="1" applyFont="1" applyBorder="1"/>
    <xf numFmtId="4" fontId="10" fillId="0" borderId="24" xfId="5" applyNumberFormat="1" applyFont="1" applyBorder="1"/>
    <xf numFmtId="0" fontId="9" fillId="0" borderId="6" xfId="5" applyFont="1" applyBorder="1" applyAlignment="1">
      <alignment vertical="top" wrapText="1"/>
    </xf>
    <xf numFmtId="4" fontId="11" fillId="0" borderId="6" xfId="5" applyNumberFormat="1" applyFont="1" applyBorder="1"/>
    <xf numFmtId="10" fontId="11" fillId="0" borderId="6" xfId="5" applyNumberFormat="1" applyFont="1" applyBorder="1"/>
    <xf numFmtId="0" fontId="6" fillId="0" borderId="9" xfId="5" applyFont="1" applyBorder="1"/>
    <xf numFmtId="4" fontId="6" fillId="0" borderId="6" xfId="5" applyNumberFormat="1" applyFont="1" applyBorder="1"/>
    <xf numFmtId="4" fontId="18" fillId="0" borderId="5" xfId="5" applyNumberFormat="1" applyFont="1" applyBorder="1"/>
    <xf numFmtId="4" fontId="18" fillId="0" borderId="6" xfId="5" applyNumberFormat="1" applyFont="1" applyBorder="1" applyAlignment="1">
      <alignment horizontal="right"/>
    </xf>
    <xf numFmtId="4" fontId="18" fillId="0" borderId="6" xfId="5" applyNumberFormat="1" applyFont="1" applyBorder="1"/>
    <xf numFmtId="0" fontId="16" fillId="0" borderId="0" xfId="0" applyFont="1"/>
    <xf numFmtId="4" fontId="11" fillId="0" borderId="11" xfId="0" applyNumberFormat="1" applyFont="1" applyBorder="1"/>
    <xf numFmtId="0" fontId="16" fillId="0" borderId="6" xfId="5" applyFont="1" applyBorder="1" applyAlignment="1">
      <alignment wrapText="1"/>
    </xf>
    <xf numFmtId="4" fontId="16" fillId="0" borderId="5" xfId="5" applyNumberFormat="1" applyFont="1" applyBorder="1"/>
    <xf numFmtId="0" fontId="18" fillId="0" borderId="6" xfId="5" applyFont="1" applyBorder="1" applyAlignment="1">
      <alignment wrapText="1"/>
    </xf>
    <xf numFmtId="4" fontId="19" fillId="0" borderId="5" xfId="5" applyNumberFormat="1" applyFont="1" applyBorder="1"/>
    <xf numFmtId="49" fontId="6" fillId="0" borderId="5" xfId="5" applyNumberFormat="1" applyFont="1" applyBorder="1" applyAlignment="1">
      <alignment horizontal="left"/>
    </xf>
    <xf numFmtId="0" fontId="6" fillId="0" borderId="5" xfId="5" applyFont="1" applyBorder="1" applyAlignment="1">
      <alignment horizontal="right"/>
    </xf>
    <xf numFmtId="0" fontId="18" fillId="0" borderId="6" xfId="5" applyFont="1" applyBorder="1"/>
    <xf numFmtId="4" fontId="16" fillId="0" borderId="6" xfId="5" applyNumberFormat="1" applyFont="1" applyBorder="1"/>
    <xf numFmtId="4" fontId="20" fillId="0" borderId="5" xfId="1" applyNumberFormat="1" applyFont="1" applyBorder="1"/>
    <xf numFmtId="4" fontId="18" fillId="0" borderId="5" xfId="1" applyNumberFormat="1" applyFont="1" applyBorder="1"/>
    <xf numFmtId="0" fontId="6" fillId="0" borderId="0" xfId="5" applyFont="1" applyAlignment="1">
      <alignment horizontal="left"/>
    </xf>
    <xf numFmtId="0" fontId="6" fillId="0" borderId="6" xfId="5" applyFont="1" applyBorder="1" applyAlignment="1">
      <alignment wrapText="1"/>
    </xf>
    <xf numFmtId="0" fontId="10" fillId="0" borderId="24" xfId="5" applyFont="1" applyBorder="1"/>
    <xf numFmtId="4" fontId="9" fillId="0" borderId="5" xfId="5" applyNumberFormat="1" applyFont="1" applyBorder="1" applyAlignment="1">
      <alignment wrapText="1"/>
    </xf>
    <xf numFmtId="4" fontId="9" fillId="0" borderId="6" xfId="5" applyNumberFormat="1" applyFont="1" applyBorder="1" applyAlignment="1">
      <alignment wrapText="1"/>
    </xf>
    <xf numFmtId="0" fontId="21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5" applyFont="1" applyAlignment="1">
      <alignment horizontal="left"/>
    </xf>
    <xf numFmtId="0" fontId="10" fillId="0" borderId="0" xfId="5" applyFont="1" applyAlignment="1">
      <alignment horizontal="left"/>
    </xf>
    <xf numFmtId="0" fontId="10" fillId="0" borderId="0" xfId="5" applyFont="1" applyAlignment="1">
      <alignment horizontal="center"/>
    </xf>
    <xf numFmtId="0" fontId="0" fillId="0" borderId="0" xfId="0" applyAlignment="1">
      <alignment horizontal="center" vertical="center"/>
    </xf>
  </cellXfs>
  <cellStyles count="11">
    <cellStyle name="Excel Built-in Normal" xfId="2"/>
    <cellStyle name="Normal" xfId="0" builtinId="0"/>
    <cellStyle name="Normal 2" xfId="1"/>
    <cellStyle name="Normal 2 2" xfId="3"/>
    <cellStyle name="Normal 3" xfId="4"/>
    <cellStyle name="Normal 4" xfId="7"/>
    <cellStyle name="Normal 5" xfId="8"/>
    <cellStyle name="Normal 6" xfId="10"/>
    <cellStyle name="Normal 7" xfId="6"/>
    <cellStyle name="Normal 8" xfId="9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Prihodi i primici</a:t>
            </a: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'[1]Dijagrami prihoda'!$A$2:$A$6</c:f>
              <c:strCache>
                <c:ptCount val="5"/>
                <c:pt idx="0">
                  <c:v>I - PRIHODI OD POREZA</c:v>
                </c:pt>
                <c:pt idx="1">
                  <c:v>II - NEPOREZNI PRIHODI</c:v>
                </c:pt>
                <c:pt idx="2">
                  <c:v>III - TEKUĆE TRANSFERI (TRANSFERI I DONACIJE)</c:v>
                </c:pt>
                <c:pt idx="3">
                  <c:v>IV - KAPITALNI TRANSFERI</c:v>
                </c:pt>
                <c:pt idx="4">
                  <c:v>V - KAPITALNI PRIMICI</c:v>
                </c:pt>
              </c:strCache>
            </c:strRef>
          </c:cat>
          <c:val>
            <c:numRef>
              <c:f>'[1]Dijagrami prihoda'!$B$2:$B$6</c:f>
              <c:numCache>
                <c:formatCode>General</c:formatCode>
                <c:ptCount val="5"/>
                <c:pt idx="0">
                  <c:v>7456238</c:v>
                </c:pt>
                <c:pt idx="1">
                  <c:v>2383960</c:v>
                </c:pt>
                <c:pt idx="2">
                  <c:v>2869894</c:v>
                </c:pt>
                <c:pt idx="3">
                  <c:v>1436000</c:v>
                </c:pt>
                <c:pt idx="4">
                  <c:v>510000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F9-4AAC-BF12-B742AA4612F7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'[1]Dijagrami prihoda'!$A$2:$A$6</c:f>
              <c:strCache>
                <c:ptCount val="5"/>
                <c:pt idx="0">
                  <c:v>I - PRIHODI OD POREZA</c:v>
                </c:pt>
                <c:pt idx="1">
                  <c:v>II - NEPOREZNI PRIHODI</c:v>
                </c:pt>
                <c:pt idx="2">
                  <c:v>III - TEKUĆE TRANSFERI (TRANSFERI I DONACIJE)</c:v>
                </c:pt>
                <c:pt idx="3">
                  <c:v>IV - KAPITALNI TRANSFERI</c:v>
                </c:pt>
                <c:pt idx="4">
                  <c:v>V - KAPITALNI PRIMICI</c:v>
                </c:pt>
              </c:strCache>
            </c:strRef>
          </c:cat>
          <c:val>
            <c:numRef>
              <c:f>'[1]Dijagrami prihoda'!$C$2:$C$6</c:f>
              <c:numCache>
                <c:formatCode>General</c:formatCode>
                <c:ptCount val="5"/>
                <c:pt idx="0">
                  <c:v>8142513</c:v>
                </c:pt>
                <c:pt idx="1">
                  <c:v>1942644</c:v>
                </c:pt>
                <c:pt idx="2">
                  <c:v>3581875</c:v>
                </c:pt>
                <c:pt idx="3">
                  <c:v>1750000</c:v>
                </c:pt>
                <c:pt idx="4">
                  <c:v>560000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F9-4AAC-BF12-B742AA4612F7}"/>
            </c:ext>
          </c:extLst>
        </c:ser>
        <c:dLbls/>
        <c:axId val="126609664"/>
        <c:axId val="126889984"/>
      </c:barChart>
      <c:catAx>
        <c:axId val="126609664"/>
        <c:scaling>
          <c:orientation val="minMax"/>
        </c:scaling>
        <c:axPos val="b"/>
        <c:numFmt formatCode="General" sourceLinked="1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89984"/>
        <c:crosses val="autoZero"/>
        <c:auto val="1"/>
        <c:lblAlgn val="ctr"/>
        <c:lblOffset val="100"/>
      </c:catAx>
      <c:valAx>
        <c:axId val="12688998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60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Socijalna zaštita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rashoda'!$A$43:$A$45</c:f>
              <c:strCache>
                <c:ptCount val="3"/>
                <c:pt idx="0">
                  <c:v>Socijalna zaštita</c:v>
                </c:pt>
                <c:pt idx="1">
                  <c:v>Oblast BIZ-a</c:v>
                </c:pt>
                <c:pt idx="2">
                  <c:v>Raseljena i prognana lica</c:v>
                </c:pt>
              </c:strCache>
            </c:strRef>
          </c:cat>
          <c:val>
            <c:numRef>
              <c:f>'[1]Dijagrami rashoda'!$B$43:$B$45</c:f>
              <c:numCache>
                <c:formatCode>General</c:formatCode>
                <c:ptCount val="3"/>
                <c:pt idx="0">
                  <c:v>631000</c:v>
                </c:pt>
                <c:pt idx="1">
                  <c:v>30000</c:v>
                </c:pt>
                <c:pt idx="2">
                  <c:v>36000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36-4D56-AC26-575F4D7D80DD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rashoda'!$A$43:$A$45</c:f>
              <c:strCache>
                <c:ptCount val="3"/>
                <c:pt idx="0">
                  <c:v>Socijalna zaštita</c:v>
                </c:pt>
                <c:pt idx="1">
                  <c:v>Oblast BIZ-a</c:v>
                </c:pt>
                <c:pt idx="2">
                  <c:v>Raseljena i prognana lica</c:v>
                </c:pt>
              </c:strCache>
            </c:strRef>
          </c:cat>
          <c:val>
            <c:numRef>
              <c:f>'[1]Dijagrami rashoda'!$C$43:$C$45</c:f>
              <c:numCache>
                <c:formatCode>General</c:formatCode>
                <c:ptCount val="3"/>
                <c:pt idx="0">
                  <c:v>631000</c:v>
                </c:pt>
                <c:pt idx="1">
                  <c:v>30000</c:v>
                </c:pt>
                <c:pt idx="2">
                  <c:v>56000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36-4D56-AC26-575F4D7D80DD}"/>
            </c:ext>
          </c:extLst>
        </c:ser>
        <c:dLbls/>
        <c:shape val="box"/>
        <c:axId val="129072512"/>
        <c:axId val="129102976"/>
        <c:axId val="0"/>
      </c:bar3DChart>
      <c:catAx>
        <c:axId val="12907251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102976"/>
        <c:crosses val="autoZero"/>
        <c:auto val="1"/>
        <c:lblAlgn val="ctr"/>
        <c:lblOffset val="100"/>
      </c:catAx>
      <c:valAx>
        <c:axId val="12910297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07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Opće javne usluge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rashoda'!$A$3:$A$6</c:f>
              <c:strCache>
                <c:ptCount val="4"/>
                <c:pt idx="0">
                  <c:v>Izvršni i zakonodavni organi</c:v>
                </c:pt>
                <c:pt idx="1">
                  <c:v>Finansijski i fiskalni poslovi</c:v>
                </c:pt>
                <c:pt idx="2">
                  <c:v>Ostale opće usluge</c:v>
                </c:pt>
                <c:pt idx="3">
                  <c:v>Opće javne službe</c:v>
                </c:pt>
              </c:strCache>
            </c:strRef>
          </c:cat>
          <c:val>
            <c:numRef>
              <c:f>'[1]Dijagrami rashoda'!$B$3:$B$6</c:f>
              <c:numCache>
                <c:formatCode>General</c:formatCode>
                <c:ptCount val="4"/>
                <c:pt idx="0">
                  <c:v>2640762</c:v>
                </c:pt>
                <c:pt idx="1">
                  <c:v>816409</c:v>
                </c:pt>
                <c:pt idx="2">
                  <c:v>139500</c:v>
                </c:pt>
                <c:pt idx="3">
                  <c:v>910968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18-41D4-AEBF-869121EFD11B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rashoda'!$A$3:$A$6</c:f>
              <c:strCache>
                <c:ptCount val="4"/>
                <c:pt idx="0">
                  <c:v>Izvršni i zakonodavni organi</c:v>
                </c:pt>
                <c:pt idx="1">
                  <c:v>Finansijski i fiskalni poslovi</c:v>
                </c:pt>
                <c:pt idx="2">
                  <c:v>Ostale opće usluge</c:v>
                </c:pt>
                <c:pt idx="3">
                  <c:v>Opće javne službe</c:v>
                </c:pt>
              </c:strCache>
            </c:strRef>
          </c:cat>
          <c:val>
            <c:numRef>
              <c:f>'[1]Dijagrami rashoda'!$C$3:$C$6</c:f>
              <c:numCache>
                <c:formatCode>General</c:formatCode>
                <c:ptCount val="4"/>
                <c:pt idx="0">
                  <c:v>2935628</c:v>
                </c:pt>
                <c:pt idx="1">
                  <c:v>875290</c:v>
                </c:pt>
                <c:pt idx="2">
                  <c:v>139500</c:v>
                </c:pt>
                <c:pt idx="3">
                  <c:v>975060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18-41D4-AEBF-869121EFD11B}"/>
            </c:ext>
          </c:extLst>
        </c:ser>
        <c:dLbls/>
        <c:shape val="box"/>
        <c:axId val="127076224"/>
        <c:axId val="127077760"/>
        <c:axId val="0"/>
      </c:bar3DChart>
      <c:catAx>
        <c:axId val="1270762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77760"/>
        <c:crosses val="autoZero"/>
        <c:auto val="1"/>
        <c:lblAlgn val="ctr"/>
        <c:lblOffset val="100"/>
      </c:catAx>
      <c:valAx>
        <c:axId val="1270777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7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Odbrana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rashoda'!$A$9:$A$10</c:f>
              <c:strCache>
                <c:ptCount val="2"/>
                <c:pt idx="0">
                  <c:v>Civilna odbrana</c:v>
                </c:pt>
                <c:pt idx="1">
                  <c:v>Zaštita od prirodne nepogode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rashoda'!$A$8:$A$10</c15:sqref>
                  </c15:fullRef>
                </c:ext>
              </c:extLst>
            </c:strRef>
          </c:cat>
          <c:val>
            <c:numRef>
              <c:f>'[1]Dijagrami rashoda'!$B$9:$B$10</c:f>
              <c:numCache>
                <c:formatCode>General</c:formatCode>
                <c:ptCount val="2"/>
                <c:pt idx="0">
                  <c:v>918286</c:v>
                </c:pt>
                <c:pt idx="1">
                  <c:v>490000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rashoda'!$B$8:$B$10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C7-4E73-8406-CD99A7B0AA71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rashoda'!$A$9:$A$10</c:f>
              <c:strCache>
                <c:ptCount val="2"/>
                <c:pt idx="0">
                  <c:v>Civilna odbrana</c:v>
                </c:pt>
                <c:pt idx="1">
                  <c:v>Zaštita od prirodne nepogode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rashoda'!$A$8:$A$10</c15:sqref>
                  </c15:fullRef>
                </c:ext>
              </c:extLst>
            </c:strRef>
          </c:cat>
          <c:val>
            <c:numRef>
              <c:f>'[1]Dijagrami rashoda'!$C$9:$C$10</c:f>
              <c:numCache>
                <c:formatCode>General</c:formatCode>
                <c:ptCount val="2"/>
                <c:pt idx="0">
                  <c:v>1086310</c:v>
                </c:pt>
                <c:pt idx="1">
                  <c:v>416700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rashoda'!$C$8:$C$10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4C7-4E73-8406-CD99A7B0AA71}"/>
            </c:ext>
          </c:extLst>
        </c:ser>
        <c:dLbls/>
        <c:shape val="box"/>
        <c:axId val="127124608"/>
        <c:axId val="127126144"/>
        <c:axId val="0"/>
      </c:bar3DChart>
      <c:catAx>
        <c:axId val="1271246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26144"/>
        <c:crosses val="autoZero"/>
        <c:auto val="1"/>
        <c:lblAlgn val="ctr"/>
        <c:lblOffset val="100"/>
      </c:catAx>
      <c:valAx>
        <c:axId val="1271261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12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Javni red i sigurnost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rashoda'!$A$13:$A$14</c:f>
              <c:strCache>
                <c:ptCount val="2"/>
                <c:pt idx="0">
                  <c:v>Usluge vatrogasne zaštite</c:v>
                </c:pt>
                <c:pt idx="1">
                  <c:v>Općinsko pravobranilaštvo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rashoda'!$A$12:$A$14</c15:sqref>
                  </c15:fullRef>
                </c:ext>
              </c:extLst>
            </c:strRef>
          </c:cat>
          <c:val>
            <c:numRef>
              <c:f>'[1]Dijagrami rashoda'!$B$13:$B$14</c:f>
              <c:numCache>
                <c:formatCode>General</c:formatCode>
                <c:ptCount val="2"/>
                <c:pt idx="0">
                  <c:v>15000</c:v>
                </c:pt>
                <c:pt idx="1">
                  <c:v>90695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rashoda'!$B$12:$B$14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F8-4847-A1DC-B657C0A63033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rashoda'!$A$13:$A$14</c:f>
              <c:strCache>
                <c:ptCount val="2"/>
                <c:pt idx="0">
                  <c:v>Usluge vatrogasne zaštite</c:v>
                </c:pt>
                <c:pt idx="1">
                  <c:v>Općinsko pravobranilaštvo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rashoda'!$A$12:$A$14</c15:sqref>
                  </c15:fullRef>
                </c:ext>
              </c:extLst>
            </c:strRef>
          </c:cat>
          <c:val>
            <c:numRef>
              <c:f>'[1]Dijagrami rashoda'!$C$13:$C$14</c:f>
              <c:numCache>
                <c:formatCode>General</c:formatCode>
                <c:ptCount val="2"/>
                <c:pt idx="0">
                  <c:v>15000</c:v>
                </c:pt>
                <c:pt idx="1">
                  <c:v>107220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rashoda'!$C$12:$C$14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F8-4847-A1DC-B657C0A63033}"/>
            </c:ext>
          </c:extLst>
        </c:ser>
        <c:dLbls/>
        <c:shape val="box"/>
        <c:axId val="127259008"/>
        <c:axId val="127260544"/>
        <c:axId val="0"/>
      </c:bar3DChart>
      <c:catAx>
        <c:axId val="12725900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60544"/>
        <c:crosses val="autoZero"/>
        <c:auto val="1"/>
        <c:lblAlgn val="ctr"/>
        <c:lblOffset val="100"/>
      </c:catAx>
      <c:valAx>
        <c:axId val="12726054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259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Ekonomski poslovi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rashoda'!$A$17:$A$19</c:f>
              <c:strCache>
                <c:ptCount val="3"/>
                <c:pt idx="0">
                  <c:v>Opći poslovi po osnovu pitanja rada</c:v>
                </c:pt>
                <c:pt idx="1">
                  <c:v>Poljoprivreda</c:v>
                </c:pt>
                <c:pt idx="2">
                  <c:v>Izgradnja</c:v>
                </c:pt>
              </c:strCache>
            </c:strRef>
          </c:cat>
          <c:val>
            <c:numRef>
              <c:f>'[1]Dijagrami rashoda'!$B$17:$B$19</c:f>
              <c:numCache>
                <c:formatCode>General</c:formatCode>
                <c:ptCount val="3"/>
                <c:pt idx="0">
                  <c:v>70000</c:v>
                </c:pt>
                <c:pt idx="1">
                  <c:v>488000</c:v>
                </c:pt>
                <c:pt idx="2">
                  <c:v>4695166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34-4D92-A4A3-EDC7F83BDCFD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rashoda'!$A$17:$A$19</c:f>
              <c:strCache>
                <c:ptCount val="3"/>
                <c:pt idx="0">
                  <c:v>Opći poslovi po osnovu pitanja rada</c:v>
                </c:pt>
                <c:pt idx="1">
                  <c:v>Poljoprivreda</c:v>
                </c:pt>
                <c:pt idx="2">
                  <c:v>Izgradnja</c:v>
                </c:pt>
              </c:strCache>
            </c:strRef>
          </c:cat>
          <c:val>
            <c:numRef>
              <c:f>'[1]Dijagrami rashoda'!$C$17:$C$19</c:f>
              <c:numCache>
                <c:formatCode>General</c:formatCode>
                <c:ptCount val="3"/>
                <c:pt idx="0">
                  <c:v>50000</c:v>
                </c:pt>
                <c:pt idx="1">
                  <c:v>540561</c:v>
                </c:pt>
                <c:pt idx="2">
                  <c:v>5795702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D34-4D92-A4A3-EDC7F83BDCFD}"/>
            </c:ext>
          </c:extLst>
        </c:ser>
        <c:dLbls/>
        <c:shape val="box"/>
        <c:axId val="127311232"/>
        <c:axId val="127317120"/>
        <c:axId val="0"/>
      </c:bar3DChart>
      <c:catAx>
        <c:axId val="12731123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17120"/>
        <c:crosses val="autoZero"/>
        <c:auto val="1"/>
        <c:lblAlgn val="ctr"/>
        <c:lblOffset val="100"/>
      </c:catAx>
      <c:valAx>
        <c:axId val="1273171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11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Komunalni poslovi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rashoda'!$A$22:$A$24</c:f>
              <c:strCache>
                <c:ptCount val="3"/>
                <c:pt idx="0">
                  <c:v>Vodosnabdijevanje</c:v>
                </c:pt>
                <c:pt idx="1">
                  <c:v>Ulična rasvjeta</c:v>
                </c:pt>
                <c:pt idx="2">
                  <c:v>Komunalni poslovi</c:v>
                </c:pt>
              </c:strCache>
            </c:strRef>
          </c:cat>
          <c:val>
            <c:numRef>
              <c:f>'[1]Dijagrami rashoda'!$B$22:$B$24</c:f>
              <c:numCache>
                <c:formatCode>General</c:formatCode>
                <c:ptCount val="3"/>
                <c:pt idx="0">
                  <c:v>356030</c:v>
                </c:pt>
                <c:pt idx="1">
                  <c:v>51000</c:v>
                </c:pt>
                <c:pt idx="2">
                  <c:v>910900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A4-4C3E-9479-5E9F16DE56D5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rashoda'!$A$22:$A$24</c:f>
              <c:strCache>
                <c:ptCount val="3"/>
                <c:pt idx="0">
                  <c:v>Vodosnabdijevanje</c:v>
                </c:pt>
                <c:pt idx="1">
                  <c:v>Ulična rasvjeta</c:v>
                </c:pt>
                <c:pt idx="2">
                  <c:v>Komunalni poslovi</c:v>
                </c:pt>
              </c:strCache>
            </c:strRef>
          </c:cat>
          <c:val>
            <c:numRef>
              <c:f>'[1]Dijagrami rashoda'!$C$22:$C$24</c:f>
              <c:numCache>
                <c:formatCode>General</c:formatCode>
                <c:ptCount val="3"/>
                <c:pt idx="0">
                  <c:v>200000</c:v>
                </c:pt>
                <c:pt idx="1">
                  <c:v>56000</c:v>
                </c:pt>
                <c:pt idx="2">
                  <c:v>923300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AA4-4C3E-9479-5E9F16DE56D5}"/>
            </c:ext>
          </c:extLst>
        </c:ser>
        <c:dLbls/>
        <c:shape val="box"/>
        <c:axId val="127371904"/>
        <c:axId val="127381888"/>
        <c:axId val="0"/>
      </c:bar3DChart>
      <c:catAx>
        <c:axId val="1273719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81888"/>
        <c:crosses val="autoZero"/>
        <c:auto val="1"/>
        <c:lblAlgn val="ctr"/>
        <c:lblOffset val="100"/>
      </c:catAx>
      <c:valAx>
        <c:axId val="12738188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371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Zdravstvo</a:t>
            </a:r>
          </a:p>
        </c:rich>
      </c:tx>
      <c:layout/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rashoda'!$A$27:$A$28</c:f>
              <c:strCache>
                <c:ptCount val="2"/>
                <c:pt idx="0">
                  <c:v>Ostale usluge zdravstvene zaštite</c:v>
                </c:pt>
                <c:pt idx="1">
                  <c:v>Zdravstvena zaštita životinja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rashoda'!$A$26:$A$28</c15:sqref>
                  </c15:fullRef>
                </c:ext>
              </c:extLst>
            </c:strRef>
          </c:cat>
          <c:val>
            <c:numRef>
              <c:f>'[1]Dijagrami rashoda'!$B$27:$B$28</c:f>
              <c:numCache>
                <c:formatCode>General</c:formatCode>
                <c:ptCount val="2"/>
                <c:pt idx="0">
                  <c:v>87000</c:v>
                </c:pt>
                <c:pt idx="1">
                  <c:v>65000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rashoda'!$B$26:$B$28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14-423B-BACA-29ECCC820992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rashoda'!$A$27:$A$28</c:f>
              <c:strCache>
                <c:ptCount val="2"/>
                <c:pt idx="0">
                  <c:v>Ostale usluge zdravstvene zaštite</c:v>
                </c:pt>
                <c:pt idx="1">
                  <c:v>Zdravstvena zaštita životinja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rashoda'!$A$26:$A$28</c15:sqref>
                  </c15:fullRef>
                </c:ext>
              </c:extLst>
            </c:strRef>
          </c:cat>
          <c:val>
            <c:numRef>
              <c:f>'[1]Dijagrami rashoda'!$C$27:$C$28</c:f>
              <c:numCache>
                <c:formatCode>General</c:formatCode>
                <c:ptCount val="2"/>
                <c:pt idx="0">
                  <c:v>97000</c:v>
                </c:pt>
                <c:pt idx="1">
                  <c:v>15000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rashoda'!$C$26:$C$28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A14-423B-BACA-29ECCC820992}"/>
            </c:ext>
          </c:extLst>
        </c:ser>
        <c:dLbls/>
        <c:shape val="box"/>
        <c:axId val="127408000"/>
        <c:axId val="127409536"/>
        <c:axId val="0"/>
      </c:bar3DChart>
      <c:catAx>
        <c:axId val="12740800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09536"/>
        <c:crosses val="autoZero"/>
        <c:auto val="1"/>
        <c:lblAlgn val="ctr"/>
        <c:lblOffset val="100"/>
      </c:catAx>
      <c:valAx>
        <c:axId val="1274095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408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Rekreacija, kultura i religija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rashoda'!$A$31:$A$34</c:f>
              <c:strCache>
                <c:ptCount val="4"/>
                <c:pt idx="0">
                  <c:v>Usluge sporta i rekreacije</c:v>
                </c:pt>
                <c:pt idx="1">
                  <c:v>Usluge kulture</c:v>
                </c:pt>
                <c:pt idx="2">
                  <c:v>Usluge emitovanja i izdavalaštva</c:v>
                </c:pt>
                <c:pt idx="3">
                  <c:v>Religijske i druge zajedničke usluge</c:v>
                </c:pt>
              </c:strCache>
            </c:strRef>
          </c:cat>
          <c:val>
            <c:numRef>
              <c:f>'[1]Dijagrami rashoda'!$B$31:$B$34</c:f>
              <c:numCache>
                <c:formatCode>General</c:formatCode>
                <c:ptCount val="4"/>
                <c:pt idx="0">
                  <c:v>418000</c:v>
                </c:pt>
                <c:pt idx="1">
                  <c:v>329000</c:v>
                </c:pt>
                <c:pt idx="2">
                  <c:v>50860</c:v>
                </c:pt>
                <c:pt idx="3">
                  <c:v>40000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DED-49AC-86A2-57B6C1581C68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rashoda'!$A$31:$A$34</c:f>
              <c:strCache>
                <c:ptCount val="4"/>
                <c:pt idx="0">
                  <c:v>Usluge sporta i rekreacije</c:v>
                </c:pt>
                <c:pt idx="1">
                  <c:v>Usluge kulture</c:v>
                </c:pt>
                <c:pt idx="2">
                  <c:v>Usluge emitovanja i izdavalaštva</c:v>
                </c:pt>
                <c:pt idx="3">
                  <c:v>Religijske i druge zajedničke usluge</c:v>
                </c:pt>
              </c:strCache>
            </c:strRef>
          </c:cat>
          <c:val>
            <c:numRef>
              <c:f>'[1]Dijagrami rashoda'!$C$31:$C$34</c:f>
              <c:numCache>
                <c:formatCode>General</c:formatCode>
                <c:ptCount val="4"/>
                <c:pt idx="0">
                  <c:v>316000</c:v>
                </c:pt>
                <c:pt idx="1">
                  <c:v>359000</c:v>
                </c:pt>
                <c:pt idx="2">
                  <c:v>50860</c:v>
                </c:pt>
                <c:pt idx="3">
                  <c:v>40000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DED-49AC-86A2-57B6C1581C68}"/>
            </c:ext>
          </c:extLst>
        </c:ser>
        <c:dLbls/>
        <c:shape val="box"/>
        <c:axId val="127538304"/>
        <c:axId val="127539840"/>
        <c:axId val="0"/>
      </c:bar3DChart>
      <c:catAx>
        <c:axId val="12753830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39840"/>
        <c:crosses val="autoZero"/>
        <c:auto val="1"/>
        <c:lblAlgn val="ctr"/>
        <c:lblOffset val="100"/>
      </c:catAx>
      <c:valAx>
        <c:axId val="12753984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38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Obrazovanje</a:t>
            </a:r>
          </a:p>
        </c:rich>
      </c:tx>
      <c:spPr>
        <a:noFill/>
        <a:ln>
          <a:noFill/>
        </a:ln>
        <a:effectLst/>
      </c:spPr>
    </c:title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tx>
            <c:v>2023. godina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cat>
            <c:strRef>
              <c:f>'[1]Dijagrami rashoda'!$A$39:$A$40</c:f>
              <c:strCache>
                <c:ptCount val="2"/>
                <c:pt idx="0">
                  <c:v>Predškolsko obrazovanje</c:v>
                </c:pt>
                <c:pt idx="1">
                  <c:v>Podrška iz oblasti obrazovanja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rashoda'!$A$38:$A$40</c15:sqref>
                  </c15:fullRef>
                </c:ext>
              </c:extLst>
            </c:strRef>
          </c:cat>
          <c:val>
            <c:numRef>
              <c:f>'[1]Dijagrami rashoda'!$B$39:$B$40</c:f>
              <c:numCache>
                <c:formatCode>General</c:formatCode>
                <c:ptCount val="2"/>
                <c:pt idx="0">
                  <c:v>25000</c:v>
                </c:pt>
                <c:pt idx="1">
                  <c:v>243780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rashoda'!$B$38:$B$40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3B-42B2-B066-CCDFF9A29833}"/>
            </c:ext>
          </c:extLst>
        </c:ser>
        <c:ser>
          <c:idx val="1"/>
          <c:order val="1"/>
          <c:tx>
            <c:v>2024. godina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cat>
            <c:strRef>
              <c:f>'[1]Dijagrami rashoda'!$A$39:$A$40</c:f>
              <c:strCache>
                <c:ptCount val="2"/>
                <c:pt idx="0">
                  <c:v>Predškolsko obrazovanje</c:v>
                </c:pt>
                <c:pt idx="1">
                  <c:v>Podrška iz oblasti obrazovanja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rashoda'!$A$38:$A$40</c15:sqref>
                  </c15:fullRef>
                </c:ext>
              </c:extLst>
            </c:strRef>
          </c:cat>
          <c:val>
            <c:numRef>
              <c:f>'[1]Dijagrami rashoda'!$C$39:$C$40</c:f>
              <c:numCache>
                <c:formatCode>General</c:formatCode>
                <c:ptCount val="2"/>
                <c:pt idx="0">
                  <c:v>25000</c:v>
                </c:pt>
                <c:pt idx="1">
                  <c:v>240901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'[1]Dijagrami rashoda'!$C$38:$C$40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03B-42B2-B066-CCDFF9A29833}"/>
            </c:ext>
          </c:extLst>
        </c:ser>
        <c:dLbls/>
        <c:shape val="box"/>
        <c:axId val="127594880"/>
        <c:axId val="127596416"/>
        <c:axId val="0"/>
      </c:bar3DChart>
      <c:catAx>
        <c:axId val="1275948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96416"/>
        <c:crosses val="autoZero"/>
        <c:auto val="1"/>
        <c:lblAlgn val="ctr"/>
        <c:lblOffset val="100"/>
      </c:catAx>
      <c:valAx>
        <c:axId val="12759641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9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85725</xdr:rowOff>
    </xdr:from>
    <xdr:to>
      <xdr:col>13</xdr:col>
      <xdr:colOff>23813</xdr:colOff>
      <xdr:row>29</xdr:row>
      <xdr:rowOff>80963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265806DB-DBF5-4E09-AC9E-76A79C6693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</xdr:row>
      <xdr:rowOff>50347</xdr:rowOff>
    </xdr:from>
    <xdr:to>
      <xdr:col>6</xdr:col>
      <xdr:colOff>361951</xdr:colOff>
      <xdr:row>14</xdr:row>
      <xdr:rowOff>7486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720E58E4-96B9-43F6-9D4B-7F5F12AB3A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523876</xdr:colOff>
      <xdr:row>2</xdr:row>
      <xdr:rowOff>40823</xdr:rowOff>
    </xdr:from>
    <xdr:to>
      <xdr:col>13</xdr:col>
      <xdr:colOff>285751</xdr:colOff>
      <xdr:row>13</xdr:row>
      <xdr:rowOff>188461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EB9EB5A8-49B7-4AE6-BAFA-547607EA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14</xdr:row>
      <xdr:rowOff>50348</xdr:rowOff>
    </xdr:from>
    <xdr:to>
      <xdr:col>6</xdr:col>
      <xdr:colOff>361951</xdr:colOff>
      <xdr:row>25</xdr:row>
      <xdr:rowOff>136074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95C89D36-A183-45FB-B0F4-BD4DE22675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523876</xdr:colOff>
      <xdr:row>14</xdr:row>
      <xdr:rowOff>31298</xdr:rowOff>
    </xdr:from>
    <xdr:to>
      <xdr:col>13</xdr:col>
      <xdr:colOff>295277</xdr:colOff>
      <xdr:row>25</xdr:row>
      <xdr:rowOff>145600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F236AA6C-E962-438F-BD84-AA87AD71CF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169410</xdr:rowOff>
    </xdr:from>
    <xdr:to>
      <xdr:col>6</xdr:col>
      <xdr:colOff>352425</xdr:colOff>
      <xdr:row>38</xdr:row>
      <xdr:rowOff>55110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4BFCFB86-A723-4708-8483-202B5A04C2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523876</xdr:colOff>
      <xdr:row>26</xdr:row>
      <xdr:rowOff>2724</xdr:rowOff>
    </xdr:from>
    <xdr:to>
      <xdr:col>13</xdr:col>
      <xdr:colOff>314326</xdr:colOff>
      <xdr:row>38</xdr:row>
      <xdr:rowOff>45586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8114E41B-1FD4-473D-9305-FE37D9C65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19051</xdr:colOff>
      <xdr:row>39</xdr:row>
      <xdr:rowOff>133350</xdr:rowOff>
    </xdr:from>
    <xdr:to>
      <xdr:col>6</xdr:col>
      <xdr:colOff>381001</xdr:colOff>
      <xdr:row>51</xdr:row>
      <xdr:rowOff>23813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48B47B8C-BB3D-411D-BC40-6AE64AF74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552450</xdr:colOff>
      <xdr:row>39</xdr:row>
      <xdr:rowOff>152400</xdr:rowOff>
    </xdr:from>
    <xdr:to>
      <xdr:col>13</xdr:col>
      <xdr:colOff>323851</xdr:colOff>
      <xdr:row>51</xdr:row>
      <xdr:rowOff>33337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5D2CB39E-A37D-4C83-B6B4-8D3E9EB05F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33338</xdr:colOff>
      <xdr:row>52</xdr:row>
      <xdr:rowOff>19050</xdr:rowOff>
    </xdr:from>
    <xdr:to>
      <xdr:col>6</xdr:col>
      <xdr:colOff>371476</xdr:colOff>
      <xdr:row>63</xdr:row>
      <xdr:rowOff>100013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F20D35EB-728C-48EB-AA81-7753AA566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crt%20budzeta%202024.%20god.kona&#269;an%20bez%20obrazlo&#382;enj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Prihodi"/>
      <sheetName val="Tabela B"/>
      <sheetName val="Orga"/>
      <sheetName val="Funk"/>
      <sheetName val="Tab C"/>
      <sheetName val="Dijagrami prihoda"/>
      <sheetName val="Dijagrami rashod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I - PRIHODI OD POREZA</v>
          </cell>
          <cell r="B2">
            <v>7456238</v>
          </cell>
          <cell r="C2">
            <v>8142513</v>
          </cell>
        </row>
        <row r="3">
          <cell r="A3" t="str">
            <v>II - NEPOREZNI PRIHODI</v>
          </cell>
          <cell r="B3">
            <v>2383960</v>
          </cell>
          <cell r="C3">
            <v>1942644</v>
          </cell>
        </row>
        <row r="4">
          <cell r="A4" t="str">
            <v>III - TEKUĆE TRANSFERI (TRANSFERI I DONACIJE)</v>
          </cell>
          <cell r="B4">
            <v>2869894</v>
          </cell>
          <cell r="C4">
            <v>3581875</v>
          </cell>
        </row>
        <row r="5">
          <cell r="A5" t="str">
            <v>IV - KAPITALNI TRANSFERI</v>
          </cell>
          <cell r="B5">
            <v>1436000</v>
          </cell>
          <cell r="C5">
            <v>1750000</v>
          </cell>
        </row>
        <row r="6">
          <cell r="A6" t="str">
            <v>V - KAPITALNI PRIMICI</v>
          </cell>
          <cell r="B6">
            <v>510000</v>
          </cell>
          <cell r="C6">
            <v>560000</v>
          </cell>
        </row>
      </sheetData>
      <sheetData sheetId="7">
        <row r="3">
          <cell r="A3" t="str">
            <v>Izvršni i zakonodavni organi</v>
          </cell>
          <cell r="B3">
            <v>2640762</v>
          </cell>
          <cell r="C3">
            <v>2935628</v>
          </cell>
        </row>
        <row r="4">
          <cell r="A4" t="str">
            <v>Finansijski i fiskalni poslovi</v>
          </cell>
          <cell r="B4">
            <v>816409</v>
          </cell>
          <cell r="C4">
            <v>875290</v>
          </cell>
        </row>
        <row r="5">
          <cell r="A5" t="str">
            <v>Ostale opće usluge</v>
          </cell>
          <cell r="B5">
            <v>139500</v>
          </cell>
          <cell r="C5">
            <v>139500</v>
          </cell>
        </row>
        <row r="6">
          <cell r="A6" t="str">
            <v>Opće javne službe</v>
          </cell>
          <cell r="B6">
            <v>910968</v>
          </cell>
          <cell r="C6">
            <v>975060</v>
          </cell>
        </row>
        <row r="9">
          <cell r="A9" t="str">
            <v>Civilna odbrana</v>
          </cell>
          <cell r="B9">
            <v>918286</v>
          </cell>
          <cell r="C9">
            <v>1086310</v>
          </cell>
        </row>
        <row r="10">
          <cell r="A10" t="str">
            <v>Zaštita od prirodne nepogode</v>
          </cell>
          <cell r="B10">
            <v>490000</v>
          </cell>
          <cell r="C10">
            <v>416700</v>
          </cell>
        </row>
        <row r="13">
          <cell r="A13" t="str">
            <v>Usluge vatrogasne zaštite</v>
          </cell>
          <cell r="B13">
            <v>15000</v>
          </cell>
          <cell r="C13">
            <v>15000</v>
          </cell>
        </row>
        <row r="14">
          <cell r="A14" t="str">
            <v>Općinsko pravobranilaštvo</v>
          </cell>
          <cell r="B14">
            <v>90695</v>
          </cell>
          <cell r="C14">
            <v>107220</v>
          </cell>
        </row>
        <row r="17">
          <cell r="A17" t="str">
            <v>Opći poslovi po osnovu pitanja rada</v>
          </cell>
          <cell r="B17">
            <v>70000</v>
          </cell>
          <cell r="C17">
            <v>50000</v>
          </cell>
        </row>
        <row r="18">
          <cell r="A18" t="str">
            <v>Poljoprivreda</v>
          </cell>
          <cell r="B18">
            <v>488000</v>
          </cell>
          <cell r="C18">
            <v>540561</v>
          </cell>
        </row>
        <row r="19">
          <cell r="A19" t="str">
            <v>Izgradnja</v>
          </cell>
          <cell r="B19">
            <v>4695166</v>
          </cell>
          <cell r="C19">
            <v>5795702</v>
          </cell>
        </row>
        <row r="22">
          <cell r="A22" t="str">
            <v>Vodosnabdijevanje</v>
          </cell>
          <cell r="B22">
            <v>356030</v>
          </cell>
          <cell r="C22">
            <v>200000</v>
          </cell>
        </row>
        <row r="23">
          <cell r="A23" t="str">
            <v>Ulična rasvjeta</v>
          </cell>
          <cell r="B23">
            <v>51000</v>
          </cell>
          <cell r="C23">
            <v>56000</v>
          </cell>
        </row>
        <row r="24">
          <cell r="A24" t="str">
            <v>Komunalni poslovi</v>
          </cell>
          <cell r="B24">
            <v>910900</v>
          </cell>
          <cell r="C24">
            <v>923300</v>
          </cell>
        </row>
        <row r="27">
          <cell r="A27" t="str">
            <v>Ostale usluge zdravstvene zaštite</v>
          </cell>
          <cell r="B27">
            <v>87000</v>
          </cell>
          <cell r="C27">
            <v>97000</v>
          </cell>
        </row>
        <row r="28">
          <cell r="A28" t="str">
            <v>Zdravstvena zaštita životinja</v>
          </cell>
          <cell r="B28">
            <v>65000</v>
          </cell>
          <cell r="C28">
            <v>15000</v>
          </cell>
        </row>
        <row r="31">
          <cell r="A31" t="str">
            <v>Usluge sporta i rekreacije</v>
          </cell>
          <cell r="B31">
            <v>418000</v>
          </cell>
          <cell r="C31">
            <v>316000</v>
          </cell>
        </row>
        <row r="32">
          <cell r="A32" t="str">
            <v>Usluge kulture</v>
          </cell>
          <cell r="B32">
            <v>329000</v>
          </cell>
          <cell r="C32">
            <v>359000</v>
          </cell>
        </row>
        <row r="33">
          <cell r="A33" t="str">
            <v>Usluge emitovanja i izdavalaštva</v>
          </cell>
          <cell r="B33">
            <v>50860</v>
          </cell>
          <cell r="C33">
            <v>50860</v>
          </cell>
        </row>
        <row r="34">
          <cell r="A34" t="str">
            <v>Religijske i druge zajedničke usluge</v>
          </cell>
          <cell r="B34">
            <v>40000</v>
          </cell>
          <cell r="C34">
            <v>40000</v>
          </cell>
        </row>
        <row r="39">
          <cell r="A39" t="str">
            <v>Predškolsko obrazovanje</v>
          </cell>
          <cell r="B39">
            <v>25000</v>
          </cell>
          <cell r="C39">
            <v>25000</v>
          </cell>
        </row>
        <row r="40">
          <cell r="A40" t="str">
            <v>Podrška iz oblasti obrazovanja</v>
          </cell>
          <cell r="B40">
            <v>243780</v>
          </cell>
          <cell r="C40">
            <v>240901</v>
          </cell>
        </row>
        <row r="43">
          <cell r="A43" t="str">
            <v>Socijalna zaštita</v>
          </cell>
          <cell r="B43">
            <v>631000</v>
          </cell>
          <cell r="C43">
            <v>631000</v>
          </cell>
        </row>
        <row r="44">
          <cell r="A44" t="str">
            <v>Oblast BIZ-a</v>
          </cell>
          <cell r="B44">
            <v>30000</v>
          </cell>
          <cell r="C44">
            <v>30000</v>
          </cell>
        </row>
        <row r="45">
          <cell r="A45" t="str">
            <v>Raseljena i prognana lica</v>
          </cell>
          <cell r="B45">
            <v>36000</v>
          </cell>
          <cell r="C45">
            <v>56000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opLeftCell="A14" workbookViewId="0">
      <selection activeCell="A5" sqref="A5"/>
    </sheetView>
  </sheetViews>
  <sheetFormatPr defaultRowHeight="14.4"/>
  <cols>
    <col min="1" max="1" width="14.33203125" customWidth="1"/>
    <col min="2" max="2" width="14" customWidth="1"/>
    <col min="5" max="5" width="12.5546875" customWidth="1"/>
    <col min="7" max="7" width="12.33203125" customWidth="1"/>
    <col min="8" max="10" width="14.88671875" customWidth="1"/>
    <col min="11" max="11" width="10.6640625" customWidth="1"/>
  </cols>
  <sheetData>
    <row r="1" spans="1:11" ht="7.5" customHeight="1"/>
    <row r="2" spans="1:11" s="42" customFormat="1" ht="12">
      <c r="A2" s="40" t="s">
        <v>503</v>
      </c>
      <c r="B2" s="40"/>
      <c r="C2" s="40"/>
      <c r="D2" s="40"/>
      <c r="E2" s="40"/>
      <c r="F2" s="40"/>
      <c r="G2" s="40"/>
      <c r="H2" s="40"/>
      <c r="I2" s="40"/>
      <c r="J2" s="275"/>
      <c r="K2" s="40"/>
    </row>
    <row r="3" spans="1:11" s="42" customFormat="1" ht="12">
      <c r="A3" s="40" t="s">
        <v>566</v>
      </c>
      <c r="B3" s="40"/>
      <c r="C3" s="40"/>
      <c r="D3" s="40"/>
      <c r="E3" s="40"/>
      <c r="F3" s="40"/>
      <c r="G3" s="40"/>
      <c r="H3" s="40"/>
      <c r="I3" s="40"/>
      <c r="J3" s="40"/>
      <c r="K3" s="275"/>
    </row>
    <row r="4" spans="1:11" s="42" customFormat="1" ht="12">
      <c r="A4" s="40" t="s">
        <v>604</v>
      </c>
      <c r="B4" s="40"/>
      <c r="C4" s="40"/>
      <c r="D4" s="40"/>
      <c r="E4" s="40"/>
      <c r="F4" s="40"/>
      <c r="G4" s="40"/>
      <c r="H4" s="40"/>
      <c r="I4" s="40"/>
      <c r="J4" s="40"/>
      <c r="K4" s="275"/>
    </row>
    <row r="5" spans="1:11" s="42" customFormat="1" ht="12">
      <c r="A5" s="40"/>
      <c r="B5" s="40"/>
      <c r="C5" s="40"/>
      <c r="D5" s="40"/>
      <c r="E5" s="40"/>
      <c r="F5" s="40"/>
      <c r="G5" s="40"/>
      <c r="H5" s="40"/>
      <c r="I5" s="40"/>
      <c r="J5" s="40"/>
      <c r="K5" s="275"/>
    </row>
    <row r="6" spans="1:11" s="42" customFormat="1" ht="6.7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275"/>
    </row>
    <row r="7" spans="1:11">
      <c r="A7" s="355" t="s">
        <v>565</v>
      </c>
      <c r="B7" s="355"/>
      <c r="C7" s="355"/>
      <c r="D7" s="355"/>
      <c r="E7" s="355"/>
      <c r="F7" s="355"/>
      <c r="G7" s="355"/>
      <c r="H7" s="355"/>
      <c r="I7" s="355"/>
      <c r="J7" s="355"/>
      <c r="K7" s="355"/>
    </row>
    <row r="8" spans="1:11" ht="14.4" customHeight="1">
      <c r="A8" s="356" t="s">
        <v>572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</row>
    <row r="9" spans="1:11">
      <c r="A9" s="276" t="s">
        <v>241</v>
      </c>
      <c r="B9" s="40"/>
      <c r="C9" s="40"/>
      <c r="D9" s="40"/>
      <c r="E9" s="40"/>
      <c r="F9" s="40"/>
      <c r="G9" s="40"/>
      <c r="H9" s="40"/>
      <c r="I9" s="40"/>
      <c r="J9" s="40"/>
      <c r="K9" s="40"/>
    </row>
    <row r="10" spans="1:11">
      <c r="A10" s="276"/>
      <c r="B10" s="40"/>
      <c r="C10" s="40"/>
      <c r="D10" s="40"/>
      <c r="E10" s="40"/>
      <c r="F10" s="354" t="s">
        <v>558</v>
      </c>
      <c r="G10" s="354"/>
      <c r="H10" s="40"/>
      <c r="I10" s="40"/>
      <c r="J10" s="40"/>
      <c r="K10" s="40"/>
    </row>
    <row r="11" spans="1:11" ht="4.5" customHeight="1">
      <c r="A11" s="363"/>
      <c r="B11" s="363"/>
      <c r="C11" s="363"/>
      <c r="D11" s="363"/>
      <c r="E11" s="363"/>
      <c r="F11" s="363"/>
      <c r="G11" s="363"/>
      <c r="H11" s="363"/>
      <c r="I11" s="363"/>
      <c r="J11" s="363"/>
      <c r="K11" s="363"/>
    </row>
    <row r="12" spans="1:11">
      <c r="A12" s="40" t="s">
        <v>271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9" customHeight="1">
      <c r="A13" s="275"/>
      <c r="B13" s="275"/>
      <c r="C13" s="275"/>
      <c r="D13" s="275"/>
      <c r="E13" s="275"/>
      <c r="F13" s="275"/>
      <c r="G13" s="275"/>
      <c r="H13" s="275"/>
      <c r="I13" s="275"/>
      <c r="J13" s="275"/>
      <c r="K13" s="275"/>
    </row>
    <row r="14" spans="1:11" ht="3" customHeight="1">
      <c r="A14" s="275"/>
      <c r="B14" s="364" t="s">
        <v>275</v>
      </c>
      <c r="C14" s="367" t="s">
        <v>2</v>
      </c>
      <c r="D14" s="368"/>
      <c r="E14" s="368"/>
      <c r="F14" s="368"/>
      <c r="G14" s="369"/>
      <c r="H14" s="364" t="s">
        <v>273</v>
      </c>
      <c r="I14" s="357" t="s">
        <v>547</v>
      </c>
      <c r="J14" s="364" t="s">
        <v>274</v>
      </c>
      <c r="K14" s="376" t="s">
        <v>553</v>
      </c>
    </row>
    <row r="15" spans="1:11" ht="14.25" customHeight="1">
      <c r="A15" s="40"/>
      <c r="B15" s="365"/>
      <c r="C15" s="370"/>
      <c r="D15" s="371"/>
      <c r="E15" s="371"/>
      <c r="F15" s="371"/>
      <c r="G15" s="372"/>
      <c r="H15" s="365"/>
      <c r="I15" s="358"/>
      <c r="J15" s="365"/>
      <c r="K15" s="377"/>
    </row>
    <row r="16" spans="1:11" ht="7.5" customHeight="1">
      <c r="A16" s="40"/>
      <c r="B16" s="366"/>
      <c r="C16" s="373"/>
      <c r="D16" s="374"/>
      <c r="E16" s="374"/>
      <c r="F16" s="374"/>
      <c r="G16" s="375"/>
      <c r="H16" s="366"/>
      <c r="I16" s="359"/>
      <c r="J16" s="366"/>
      <c r="K16" s="378"/>
    </row>
    <row r="17" spans="1:11" ht="12" customHeight="1">
      <c r="A17" s="40"/>
      <c r="B17" s="277">
        <v>1</v>
      </c>
      <c r="C17" s="360">
        <v>2</v>
      </c>
      <c r="D17" s="361"/>
      <c r="E17" s="361"/>
      <c r="F17" s="361"/>
      <c r="G17" s="362"/>
      <c r="H17" s="278">
        <v>3</v>
      </c>
      <c r="I17" s="278">
        <v>4</v>
      </c>
      <c r="J17" s="279">
        <v>5</v>
      </c>
      <c r="K17" s="285"/>
    </row>
    <row r="18" spans="1:11" ht="12.9" customHeight="1">
      <c r="A18" s="40"/>
      <c r="B18" s="280"/>
      <c r="C18" s="281" t="s">
        <v>242</v>
      </c>
      <c r="D18" s="281"/>
      <c r="E18" s="282"/>
      <c r="F18" s="282"/>
      <c r="G18" s="282"/>
      <c r="H18" s="283">
        <f>SUM(H19+H23+H24+H25)</f>
        <v>14146092</v>
      </c>
      <c r="I18" s="283">
        <f t="shared" ref="I18:J18" si="0">SUM(I19+I23+I24+I25)</f>
        <v>10812176.09</v>
      </c>
      <c r="J18" s="283">
        <f t="shared" si="0"/>
        <v>15417032</v>
      </c>
      <c r="K18" s="288">
        <f>SUM(J18/H18)*100</f>
        <v>108.98438946954397</v>
      </c>
    </row>
    <row r="19" spans="1:11" ht="12.9" customHeight="1">
      <c r="A19" s="40"/>
      <c r="B19" s="285" t="s">
        <v>243</v>
      </c>
      <c r="C19" s="286" t="s">
        <v>244</v>
      </c>
      <c r="D19" s="286"/>
      <c r="E19" s="286"/>
      <c r="F19" s="286"/>
      <c r="G19" s="286"/>
      <c r="H19" s="284">
        <f>SUM(H20:H22)</f>
        <v>7456238</v>
      </c>
      <c r="I19" s="284">
        <f t="shared" ref="I19" si="1">SUM(I20:I22)</f>
        <v>7526547</v>
      </c>
      <c r="J19" s="284">
        <f>SUM(J20:J22)</f>
        <v>8142513</v>
      </c>
      <c r="K19" s="284">
        <f t="shared" ref="K19:K44" si="2">SUM(J19/H19)*100</f>
        <v>109.20403828311274</v>
      </c>
    </row>
    <row r="20" spans="1:11" ht="12.9" customHeight="1">
      <c r="A20" s="40"/>
      <c r="B20" s="287">
        <v>716100</v>
      </c>
      <c r="C20" s="40" t="s">
        <v>245</v>
      </c>
      <c r="D20" s="40"/>
      <c r="E20" s="40"/>
      <c r="F20" s="40"/>
      <c r="G20" s="40"/>
      <c r="H20" s="288">
        <f>Prihodi!D23</f>
        <v>1763868</v>
      </c>
      <c r="I20" s="288">
        <f>Prihodi!F23</f>
        <v>1736028</v>
      </c>
      <c r="J20" s="288">
        <f>Prihodi!G23</f>
        <v>2183225</v>
      </c>
      <c r="K20" s="284">
        <f t="shared" si="2"/>
        <v>123.77485163288864</v>
      </c>
    </row>
    <row r="21" spans="1:11" ht="12.9" customHeight="1">
      <c r="A21" s="40"/>
      <c r="B21" s="285">
        <v>717100</v>
      </c>
      <c r="C21" s="286" t="s">
        <v>246</v>
      </c>
      <c r="D21" s="286"/>
      <c r="E21" s="286"/>
      <c r="F21" s="286"/>
      <c r="G21" s="286"/>
      <c r="H21" s="284">
        <f>Prihodi!D31</f>
        <v>4928725</v>
      </c>
      <c r="I21" s="284">
        <f>Prihodi!F31</f>
        <v>5035728</v>
      </c>
      <c r="J21" s="284">
        <f>Prihodi!G31</f>
        <v>5231455</v>
      </c>
      <c r="K21" s="288">
        <f t="shared" si="2"/>
        <v>106.14215644005296</v>
      </c>
    </row>
    <row r="22" spans="1:11" ht="12.9" customHeight="1">
      <c r="A22" s="40"/>
      <c r="B22" s="287">
        <v>714100</v>
      </c>
      <c r="C22" s="40" t="s">
        <v>272</v>
      </c>
      <c r="D22" s="40"/>
      <c r="E22" s="40"/>
      <c r="F22" s="40"/>
      <c r="G22" s="40"/>
      <c r="H22" s="288">
        <f>Prihodi!D35+Prihodi!D21+Prihodi!D18+Prihodi!D7+Prihodi!D12+Prihodi!D10</f>
        <v>763645</v>
      </c>
      <c r="I22" s="288">
        <f>Prihodi!F35+Prihodi!F21+Prihodi!F18+Prihodi!F7+Prihodi!F12+Prihodi!F10</f>
        <v>754791</v>
      </c>
      <c r="J22" s="288">
        <f>Prihodi!G35+Prihodi!G21+Prihodi!G18+Prihodi!G7+Prihodi!G12+Prihodi!G10</f>
        <v>727833</v>
      </c>
      <c r="K22" s="284">
        <f t="shared" si="2"/>
        <v>95.310386370630326</v>
      </c>
    </row>
    <row r="23" spans="1:11" ht="12.9" customHeight="1">
      <c r="A23" s="40"/>
      <c r="B23" s="285"/>
      <c r="C23" s="286" t="s">
        <v>247</v>
      </c>
      <c r="D23" s="286"/>
      <c r="E23" s="286"/>
      <c r="F23" s="286"/>
      <c r="G23" s="286"/>
      <c r="H23" s="284">
        <f>Prihodi!D37</f>
        <v>2383960</v>
      </c>
      <c r="I23" s="284">
        <f>Prihodi!F37</f>
        <v>2101912</v>
      </c>
      <c r="J23" s="284">
        <f>Prihodi!G37</f>
        <v>1942644</v>
      </c>
      <c r="K23" s="288">
        <f t="shared" si="2"/>
        <v>81.488112216647934</v>
      </c>
    </row>
    <row r="24" spans="1:11" ht="12.9" customHeight="1">
      <c r="A24" s="40"/>
      <c r="B24" s="285">
        <v>730000</v>
      </c>
      <c r="C24" s="286" t="s">
        <v>248</v>
      </c>
      <c r="D24" s="286"/>
      <c r="E24" s="286"/>
      <c r="F24" s="286"/>
      <c r="G24" s="286"/>
      <c r="H24" s="284">
        <f>Prihodi!D71</f>
        <v>2869894</v>
      </c>
      <c r="I24" s="284">
        <f>Prihodi!F71</f>
        <v>476643</v>
      </c>
      <c r="J24" s="284">
        <f>Prihodi!G71</f>
        <v>3581875</v>
      </c>
      <c r="K24" s="284">
        <f t="shared" si="2"/>
        <v>124.80861662486488</v>
      </c>
    </row>
    <row r="25" spans="1:11" ht="12.9" customHeight="1">
      <c r="A25" s="40"/>
      <c r="B25" s="287">
        <v>740000</v>
      </c>
      <c r="C25" s="40" t="s">
        <v>249</v>
      </c>
      <c r="D25" s="40"/>
      <c r="E25" s="40"/>
      <c r="F25" s="40"/>
      <c r="G25" s="40"/>
      <c r="H25" s="288">
        <f>Prihodi!D81</f>
        <v>1436000</v>
      </c>
      <c r="I25" s="288">
        <f>Prihodi!F81</f>
        <v>707074.09000000008</v>
      </c>
      <c r="J25" s="288">
        <f>Prihodi!G81</f>
        <v>1750000</v>
      </c>
      <c r="K25" s="284">
        <f t="shared" si="2"/>
        <v>121.86629526462396</v>
      </c>
    </row>
    <row r="26" spans="1:11" ht="12.9" customHeight="1">
      <c r="A26" s="40"/>
      <c r="B26" s="285">
        <v>600000</v>
      </c>
      <c r="C26" s="290" t="s">
        <v>250</v>
      </c>
      <c r="D26" s="290"/>
      <c r="E26" s="290"/>
      <c r="F26" s="290"/>
      <c r="G26" s="290"/>
      <c r="H26" s="291">
        <f>SUM(H27+H28)</f>
        <v>11894960</v>
      </c>
      <c r="I26" s="291">
        <f t="shared" ref="I26:J26" si="3">SUM(I27+I28)</f>
        <v>9066421.0899999999</v>
      </c>
      <c r="J26" s="291">
        <f t="shared" si="3"/>
        <v>13524976</v>
      </c>
      <c r="K26" s="288">
        <f t="shared" si="2"/>
        <v>113.70341724562336</v>
      </c>
    </row>
    <row r="27" spans="1:11" ht="12.9" customHeight="1">
      <c r="A27" s="40"/>
      <c r="B27" s="287">
        <v>600000</v>
      </c>
      <c r="C27" s="40" t="s">
        <v>251</v>
      </c>
      <c r="D27" s="40"/>
      <c r="E27" s="40"/>
      <c r="F27" s="40"/>
      <c r="G27" s="40"/>
      <c r="H27" s="288">
        <f>'Tabela B'!D10</f>
        <v>11814960</v>
      </c>
      <c r="I27" s="288">
        <f>'Tabela B'!F10</f>
        <v>9006421.0899999999</v>
      </c>
      <c r="J27" s="288">
        <f>'Tabela B'!G10</f>
        <v>13444976</v>
      </c>
      <c r="K27" s="289">
        <f t="shared" si="2"/>
        <v>113.79620413441943</v>
      </c>
    </row>
    <row r="28" spans="1:11" ht="12.9" customHeight="1">
      <c r="A28" s="40"/>
      <c r="B28" s="285"/>
      <c r="C28" s="286" t="s">
        <v>252</v>
      </c>
      <c r="D28" s="286"/>
      <c r="E28" s="286"/>
      <c r="F28" s="286"/>
      <c r="G28" s="286"/>
      <c r="H28" s="284">
        <f>'Tabela B'!D60</f>
        <v>80000</v>
      </c>
      <c r="I28" s="284">
        <f>'Tabela B'!F60</f>
        <v>60000</v>
      </c>
      <c r="J28" s="284">
        <f>'Tabela B'!G60</f>
        <v>80000</v>
      </c>
      <c r="K28" s="289">
        <f t="shared" si="2"/>
        <v>100</v>
      </c>
    </row>
    <row r="29" spans="1:11" ht="12.9" customHeight="1">
      <c r="A29" s="40"/>
      <c r="B29" s="287"/>
      <c r="C29" s="276" t="s">
        <v>253</v>
      </c>
      <c r="D29" s="276"/>
      <c r="E29" s="276"/>
      <c r="F29" s="276"/>
      <c r="G29" s="276"/>
      <c r="H29" s="293">
        <f>SUM(H18-H26)</f>
        <v>2251132</v>
      </c>
      <c r="I29" s="293">
        <f t="shared" ref="I29:J29" si="4">SUM(I18-I26)</f>
        <v>1745755</v>
      </c>
      <c r="J29" s="293">
        <f t="shared" si="4"/>
        <v>1892056</v>
      </c>
      <c r="K29" s="289">
        <f t="shared" si="2"/>
        <v>84.04909174584165</v>
      </c>
    </row>
    <row r="30" spans="1:11" ht="12.9" customHeight="1">
      <c r="A30" s="40"/>
      <c r="B30" s="285">
        <v>811111</v>
      </c>
      <c r="C30" s="286" t="s">
        <v>254</v>
      </c>
      <c r="D30" s="286"/>
      <c r="E30" s="286"/>
      <c r="F30" s="286"/>
      <c r="G30" s="286"/>
      <c r="H30" s="284">
        <f>Prihodi!D88</f>
        <v>510000</v>
      </c>
      <c r="I30" s="284">
        <f>Prihodi!F88</f>
        <v>514000</v>
      </c>
      <c r="J30" s="284">
        <f>Prihodi!G88</f>
        <v>573000</v>
      </c>
      <c r="K30" s="289">
        <f t="shared" si="2"/>
        <v>112.35294117647059</v>
      </c>
    </row>
    <row r="31" spans="1:11" ht="12.9" customHeight="1">
      <c r="A31" s="40"/>
      <c r="B31" s="287">
        <v>821000</v>
      </c>
      <c r="C31" s="40" t="s">
        <v>255</v>
      </c>
      <c r="D31" s="40"/>
      <c r="E31" s="40"/>
      <c r="F31" s="40"/>
      <c r="G31" s="40"/>
      <c r="H31" s="288">
        <f>'Tabela B'!D50</f>
        <v>2488396</v>
      </c>
      <c r="I31" s="288">
        <f>'Tabela B'!F50</f>
        <v>1721078</v>
      </c>
      <c r="J31" s="288">
        <f>'Tabela B'!G50</f>
        <v>2265056</v>
      </c>
      <c r="K31" s="284">
        <f t="shared" si="2"/>
        <v>91.024740435204038</v>
      </c>
    </row>
    <row r="32" spans="1:11" ht="12.9" customHeight="1">
      <c r="A32" s="40"/>
      <c r="B32" s="285"/>
      <c r="C32" s="290" t="s">
        <v>256</v>
      </c>
      <c r="D32" s="290"/>
      <c r="E32" s="290"/>
      <c r="F32" s="290"/>
      <c r="G32" s="290"/>
      <c r="H32" s="291">
        <f>SUM(H30-H31)</f>
        <v>-1978396</v>
      </c>
      <c r="I32" s="291">
        <f>SUM(I30-I31)</f>
        <v>-1207078</v>
      </c>
      <c r="J32" s="291">
        <f>SUM(J30-J31)</f>
        <v>-1692056</v>
      </c>
      <c r="K32" s="288">
        <f t="shared" si="2"/>
        <v>85.526658970196053</v>
      </c>
    </row>
    <row r="33" spans="1:11" ht="12.9" customHeight="1">
      <c r="A33" s="40"/>
      <c r="B33" s="285"/>
      <c r="C33" s="290" t="s">
        <v>257</v>
      </c>
      <c r="D33" s="290"/>
      <c r="E33" s="290"/>
      <c r="F33" s="290"/>
      <c r="G33" s="290"/>
      <c r="H33" s="291">
        <f>SUM(H29+H32)</f>
        <v>272736</v>
      </c>
      <c r="I33" s="291">
        <f t="shared" ref="I33:J33" si="5">SUM(I29+I32)</f>
        <v>538677</v>
      </c>
      <c r="J33" s="291">
        <f t="shared" si="5"/>
        <v>200000</v>
      </c>
      <c r="K33" s="284">
        <f t="shared" si="2"/>
        <v>73.330986741757599</v>
      </c>
    </row>
    <row r="34" spans="1:11" ht="12.9" customHeight="1">
      <c r="A34" s="40"/>
      <c r="B34" s="287"/>
      <c r="C34" s="276" t="s">
        <v>258</v>
      </c>
      <c r="D34" s="276"/>
      <c r="E34" s="276"/>
      <c r="F34" s="276"/>
      <c r="G34" s="276"/>
      <c r="H34" s="293"/>
      <c r="I34" s="304"/>
      <c r="J34" s="289"/>
      <c r="K34" s="288"/>
    </row>
    <row r="35" spans="1:11" ht="12.9" customHeight="1">
      <c r="A35" s="40"/>
      <c r="B35" s="294"/>
      <c r="C35" s="295" t="s">
        <v>259</v>
      </c>
      <c r="D35" s="295"/>
      <c r="E35" s="295"/>
      <c r="F35" s="295"/>
      <c r="G35" s="295"/>
      <c r="H35" s="296"/>
      <c r="I35" s="305"/>
      <c r="J35" s="314"/>
      <c r="K35" s="314"/>
    </row>
    <row r="36" spans="1:11" ht="12.9" customHeight="1">
      <c r="A36" s="40"/>
      <c r="B36" s="285">
        <v>813000</v>
      </c>
      <c r="C36" s="286" t="s">
        <v>260</v>
      </c>
      <c r="D36" s="286"/>
      <c r="E36" s="286"/>
      <c r="F36" s="286"/>
      <c r="G36" s="286"/>
      <c r="H36" s="291"/>
      <c r="I36" s="291"/>
      <c r="J36" s="314"/>
      <c r="K36" s="314"/>
    </row>
    <row r="37" spans="1:11" ht="12.9" customHeight="1">
      <c r="A37" s="40"/>
      <c r="B37" s="285">
        <v>814000</v>
      </c>
      <c r="C37" s="286" t="s">
        <v>261</v>
      </c>
      <c r="D37" s="286"/>
      <c r="E37" s="286"/>
      <c r="F37" s="286"/>
      <c r="G37" s="286"/>
      <c r="H37" s="291"/>
      <c r="I37" s="291"/>
      <c r="J37" s="284"/>
      <c r="K37" s="314"/>
    </row>
    <row r="38" spans="1:11" ht="12.9" customHeight="1">
      <c r="A38" s="40"/>
      <c r="B38" s="285">
        <v>815000</v>
      </c>
      <c r="C38" s="286" t="s">
        <v>262</v>
      </c>
      <c r="D38" s="286"/>
      <c r="E38" s="286"/>
      <c r="F38" s="286"/>
      <c r="G38" s="286"/>
      <c r="H38" s="291"/>
      <c r="I38" s="291"/>
      <c r="J38" s="284"/>
      <c r="K38" s="314"/>
    </row>
    <row r="39" spans="1:11" ht="12.9" customHeight="1">
      <c r="A39" s="40"/>
      <c r="B39" s="280"/>
      <c r="C39" s="281" t="s">
        <v>263</v>
      </c>
      <c r="D39" s="281"/>
      <c r="E39" s="281"/>
      <c r="F39" s="281"/>
      <c r="G39" s="281"/>
      <c r="H39" s="283"/>
      <c r="I39" s="304"/>
      <c r="J39" s="288"/>
      <c r="K39" s="288"/>
    </row>
    <row r="40" spans="1:11" ht="12.9" customHeight="1">
      <c r="A40" s="40"/>
      <c r="B40" s="294"/>
      <c r="C40" s="295" t="s">
        <v>264</v>
      </c>
      <c r="D40" s="295"/>
      <c r="E40" s="295"/>
      <c r="F40" s="295"/>
      <c r="G40" s="295"/>
      <c r="H40" s="296">
        <f>SUM(H41:H43)</f>
        <v>165000</v>
      </c>
      <c r="I40" s="296">
        <f t="shared" ref="I40:J40" si="6">SUM(I41:I43)</f>
        <v>0</v>
      </c>
      <c r="J40" s="296">
        <f t="shared" si="6"/>
        <v>200000</v>
      </c>
      <c r="K40" s="314">
        <f t="shared" si="2"/>
        <v>121.21212121212122</v>
      </c>
    </row>
    <row r="41" spans="1:11" ht="12.9" customHeight="1">
      <c r="A41" s="40"/>
      <c r="B41" s="285">
        <v>822000</v>
      </c>
      <c r="C41" s="286" t="s">
        <v>265</v>
      </c>
      <c r="D41" s="286"/>
      <c r="E41" s="286"/>
      <c r="F41" s="286"/>
      <c r="G41" s="286"/>
      <c r="H41" s="291"/>
      <c r="I41" s="291"/>
      <c r="J41" s="314"/>
      <c r="K41" s="314"/>
    </row>
    <row r="42" spans="1:11" ht="12.9" customHeight="1">
      <c r="A42" s="40"/>
      <c r="B42" s="285">
        <v>823000</v>
      </c>
      <c r="C42" s="286" t="s">
        <v>266</v>
      </c>
      <c r="D42" s="286"/>
      <c r="E42" s="286"/>
      <c r="F42" s="286"/>
      <c r="G42" s="286"/>
      <c r="H42" s="291"/>
      <c r="I42" s="291"/>
      <c r="J42" s="284"/>
      <c r="K42" s="314"/>
    </row>
    <row r="43" spans="1:11" ht="12.9" customHeight="1">
      <c r="A43" s="40"/>
      <c r="B43" s="285">
        <v>823500</v>
      </c>
      <c r="C43" s="286" t="s">
        <v>267</v>
      </c>
      <c r="D43" s="286"/>
      <c r="E43" s="286"/>
      <c r="F43" s="286"/>
      <c r="G43" s="286"/>
      <c r="H43" s="284">
        <f>'Tab C'!H165</f>
        <v>165000</v>
      </c>
      <c r="I43" s="284">
        <f>'Tab C'!J165</f>
        <v>0</v>
      </c>
      <c r="J43" s="284">
        <f>'Tab C'!K165</f>
        <v>200000</v>
      </c>
      <c r="K43" s="314">
        <f t="shared" si="2"/>
        <v>121.21212121212122</v>
      </c>
    </row>
    <row r="44" spans="1:11" ht="12.9" customHeight="1">
      <c r="A44" s="40"/>
      <c r="B44" s="287"/>
      <c r="C44" s="276" t="s">
        <v>268</v>
      </c>
      <c r="D44" s="276"/>
      <c r="E44" s="276"/>
      <c r="F44" s="276"/>
      <c r="G44" s="276"/>
      <c r="H44" s="291">
        <f>SUM(H35-H43)</f>
        <v>-165000</v>
      </c>
      <c r="I44" s="291">
        <f>SUM(I35-I43)</f>
        <v>0</v>
      </c>
      <c r="J44" s="291">
        <f>SUM(J35-J43)</f>
        <v>-200000</v>
      </c>
      <c r="K44" s="314">
        <f t="shared" si="2"/>
        <v>121.21212121212122</v>
      </c>
    </row>
    <row r="45" spans="1:11" ht="12.9" customHeight="1">
      <c r="A45" s="40"/>
      <c r="B45" s="285"/>
      <c r="C45" s="290" t="s">
        <v>269</v>
      </c>
      <c r="D45" s="286"/>
      <c r="E45" s="286"/>
      <c r="F45" s="286"/>
      <c r="G45" s="313"/>
      <c r="H45" s="337">
        <v>-107736</v>
      </c>
      <c r="I45" s="296">
        <v>-538677</v>
      </c>
      <c r="J45" s="296"/>
      <c r="K45" s="314"/>
    </row>
    <row r="46" spans="1:11" ht="12.9" customHeight="1">
      <c r="A46" s="40"/>
      <c r="B46" s="294"/>
      <c r="C46" s="297" t="s">
        <v>270</v>
      </c>
      <c r="D46" s="286"/>
      <c r="E46" s="286"/>
      <c r="F46" s="286"/>
      <c r="G46" s="313"/>
      <c r="H46" s="292">
        <f>SUM(H33+H44+H45)</f>
        <v>0</v>
      </c>
      <c r="I46" s="292">
        <f>SUM(I33+I44+I45)</f>
        <v>0</v>
      </c>
      <c r="J46" s="292">
        <f>SUM(J33+J44+J45)</f>
        <v>0</v>
      </c>
      <c r="K46" s="314"/>
    </row>
    <row r="47" spans="1:11" ht="10.5" customHeight="1">
      <c r="A47" s="275"/>
      <c r="B47" s="275"/>
      <c r="C47" s="275"/>
      <c r="D47" s="275"/>
      <c r="E47" s="275"/>
      <c r="F47" s="275"/>
      <c r="G47" s="275"/>
      <c r="H47" s="275"/>
      <c r="I47" s="275"/>
      <c r="J47" s="275"/>
      <c r="K47" s="275"/>
    </row>
  </sheetData>
  <mergeCells count="11">
    <mergeCell ref="F10:G10"/>
    <mergeCell ref="A7:K7"/>
    <mergeCell ref="A8:K8"/>
    <mergeCell ref="I14:I16"/>
    <mergeCell ref="C17:G17"/>
    <mergeCell ref="A11:K11"/>
    <mergeCell ref="B14:B16"/>
    <mergeCell ref="C14:G16"/>
    <mergeCell ref="H14:H16"/>
    <mergeCell ref="J14:J16"/>
    <mergeCell ref="K14:K16"/>
  </mergeCells>
  <pageMargins left="0.51181102362204722" right="0.31496062992125984" top="0" bottom="0" header="0.31496062992125984" footer="0.11811023622047245"/>
  <pageSetup paperSize="9" orientation="landscape" useFirstPageNumber="1" r:id="rId1"/>
  <headerFooter alignWithMargins="0"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opLeftCell="A76" zoomScalePageLayoutView="110" workbookViewId="0">
      <selection activeCell="M12" sqref="M12"/>
    </sheetView>
  </sheetViews>
  <sheetFormatPr defaultColWidth="9.109375" defaultRowHeight="10.199999999999999"/>
  <cols>
    <col min="1" max="1" width="7.109375" style="4" customWidth="1"/>
    <col min="2" max="2" width="5.88671875" style="4" customWidth="1"/>
    <col min="3" max="3" width="53.88671875" style="4" customWidth="1"/>
    <col min="4" max="4" width="12.5546875" style="4" customWidth="1"/>
    <col min="5" max="5" width="11.6640625" style="4" customWidth="1"/>
    <col min="6" max="6" width="12.33203125" style="4" customWidth="1"/>
    <col min="7" max="7" width="12.109375" style="4" customWidth="1"/>
    <col min="8" max="9" width="7.33203125" style="4" customWidth="1"/>
    <col min="10" max="10" width="7.6640625" style="4" customWidth="1"/>
    <col min="11" max="16384" width="9.109375" style="4"/>
  </cols>
  <sheetData>
    <row r="1" spans="1:10" ht="14.4" customHeight="1">
      <c r="A1" s="379" t="s">
        <v>559</v>
      </c>
      <c r="B1" s="379"/>
      <c r="C1" s="379"/>
      <c r="D1" s="379"/>
      <c r="E1" s="379"/>
      <c r="F1" s="379"/>
      <c r="G1" s="379"/>
      <c r="H1" s="379"/>
      <c r="I1" s="379"/>
      <c r="J1" s="379"/>
    </row>
    <row r="2" spans="1:10" ht="14.4" customHeight="1">
      <c r="A2" s="380" t="s">
        <v>564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ht="12">
      <c r="A3" s="229" t="s">
        <v>209</v>
      </c>
      <c r="B3" s="229"/>
      <c r="C3" s="229"/>
      <c r="D3" s="230"/>
      <c r="E3" s="230"/>
      <c r="F3" s="306"/>
      <c r="G3" s="230"/>
      <c r="H3" s="230"/>
      <c r="I3" s="230"/>
      <c r="J3" s="230" t="s">
        <v>0</v>
      </c>
    </row>
    <row r="4" spans="1:10" s="37" customFormat="1" ht="36">
      <c r="A4" s="231" t="s">
        <v>1</v>
      </c>
      <c r="B4" s="232" t="s">
        <v>213</v>
      </c>
      <c r="C4" s="233" t="s">
        <v>2</v>
      </c>
      <c r="D4" s="62" t="s">
        <v>239</v>
      </c>
      <c r="E4" s="63" t="s">
        <v>522</v>
      </c>
      <c r="F4" s="157" t="s">
        <v>548</v>
      </c>
      <c r="G4" s="62" t="s">
        <v>240</v>
      </c>
      <c r="H4" s="62" t="s">
        <v>551</v>
      </c>
      <c r="I4" s="62" t="s">
        <v>552</v>
      </c>
      <c r="J4" s="234" t="s">
        <v>3</v>
      </c>
    </row>
    <row r="5" spans="1:10" ht="11.4">
      <c r="A5" s="235">
        <v>1</v>
      </c>
      <c r="B5" s="236">
        <v>2</v>
      </c>
      <c r="C5" s="236">
        <v>3</v>
      </c>
      <c r="D5" s="237">
        <v>4</v>
      </c>
      <c r="E5" s="161">
        <v>5</v>
      </c>
      <c r="F5" s="161">
        <v>6</v>
      </c>
      <c r="G5" s="160">
        <v>7</v>
      </c>
      <c r="H5" s="238">
        <v>8</v>
      </c>
      <c r="I5" s="238">
        <v>9</v>
      </c>
      <c r="J5" s="238">
        <v>9</v>
      </c>
    </row>
    <row r="6" spans="1:10" ht="12">
      <c r="A6" s="239">
        <v>710000</v>
      </c>
      <c r="B6" s="240"/>
      <c r="C6" s="240" t="s">
        <v>4</v>
      </c>
      <c r="D6" s="241">
        <f>D7+D10+D12+D18+D21+D23+D31+D35</f>
        <v>7456238</v>
      </c>
      <c r="E6" s="241">
        <f>E7+E10+E12+E18+E21+E23+E31+E35</f>
        <v>5732757.0899999999</v>
      </c>
      <c r="F6" s="241">
        <f>F7+F10+F12+F18+F21+F23+F31+F35</f>
        <v>7526547</v>
      </c>
      <c r="G6" s="241">
        <f>G7+G10+G12+G18+G21+G23+G31+G35</f>
        <v>8142513</v>
      </c>
      <c r="H6" s="241">
        <f>G6/D6*100</f>
        <v>109.20403828311274</v>
      </c>
      <c r="I6" s="241">
        <f>G6/F6*100</f>
        <v>108.18391222429089</v>
      </c>
      <c r="J6" s="242">
        <f t="shared" ref="J6:J37" si="0">G6/G$99</f>
        <v>0.50922430924465945</v>
      </c>
    </row>
    <row r="7" spans="1:10" ht="12">
      <c r="A7" s="239">
        <v>711100</v>
      </c>
      <c r="B7" s="240"/>
      <c r="C7" s="240" t="s">
        <v>5</v>
      </c>
      <c r="D7" s="241">
        <f>SUM(D8:D9)</f>
        <v>216</v>
      </c>
      <c r="E7" s="241">
        <f>SUM(E8:E9)</f>
        <v>240.76</v>
      </c>
      <c r="F7" s="241">
        <f>SUM(F8:F9)</f>
        <v>280</v>
      </c>
      <c r="G7" s="241">
        <f>SUM(G8:G9)</f>
        <v>260</v>
      </c>
      <c r="H7" s="241">
        <f t="shared" ref="H7:H55" si="1">G7/D7*100</f>
        <v>120.37037037037037</v>
      </c>
      <c r="I7" s="241">
        <f t="shared" ref="I7:I55" si="2">G7/F7*100</f>
        <v>92.857142857142861</v>
      </c>
      <c r="J7" s="242">
        <f t="shared" si="0"/>
        <v>1.6260130061028022E-5</v>
      </c>
    </row>
    <row r="8" spans="1:10" ht="12">
      <c r="A8" s="243">
        <v>711111</v>
      </c>
      <c r="B8" s="82" t="s">
        <v>215</v>
      </c>
      <c r="C8" s="244" t="s">
        <v>6</v>
      </c>
      <c r="D8" s="245">
        <v>216</v>
      </c>
      <c r="E8" s="245">
        <v>220.76</v>
      </c>
      <c r="F8" s="245">
        <v>260</v>
      </c>
      <c r="G8" s="245">
        <v>240</v>
      </c>
      <c r="H8" s="245">
        <f t="shared" si="1"/>
        <v>111.11111111111111</v>
      </c>
      <c r="I8" s="241">
        <f t="shared" si="2"/>
        <v>92.307692307692307</v>
      </c>
      <c r="J8" s="246">
        <f t="shared" si="0"/>
        <v>1.5009350825564327E-5</v>
      </c>
    </row>
    <row r="9" spans="1:10" ht="12">
      <c r="A9" s="243">
        <v>711113</v>
      </c>
      <c r="B9" s="82" t="s">
        <v>215</v>
      </c>
      <c r="C9" s="247" t="s">
        <v>7</v>
      </c>
      <c r="D9" s="245">
        <v>0</v>
      </c>
      <c r="E9" s="245">
        <v>20</v>
      </c>
      <c r="F9" s="245">
        <v>20</v>
      </c>
      <c r="G9" s="245">
        <v>20</v>
      </c>
      <c r="H9" s="245" t="e">
        <f t="shared" si="1"/>
        <v>#DIV/0!</v>
      </c>
      <c r="I9" s="241">
        <f t="shared" si="2"/>
        <v>100</v>
      </c>
      <c r="J9" s="246">
        <f t="shared" si="0"/>
        <v>1.2507792354636939E-6</v>
      </c>
    </row>
    <row r="10" spans="1:10" s="41" customFormat="1" ht="12">
      <c r="A10" s="243">
        <v>713100</v>
      </c>
      <c r="B10" s="244"/>
      <c r="C10" s="244" t="s">
        <v>8</v>
      </c>
      <c r="D10" s="245">
        <f>SUM(D11:D11)</f>
        <v>1500</v>
      </c>
      <c r="E10" s="245">
        <f t="shared" ref="E10:G10" si="3">SUM(E11:E11)</f>
        <v>1241.17</v>
      </c>
      <c r="F10" s="245">
        <f t="shared" si="3"/>
        <v>1500</v>
      </c>
      <c r="G10" s="245">
        <f t="shared" si="3"/>
        <v>1200</v>
      </c>
      <c r="H10" s="245">
        <f t="shared" si="1"/>
        <v>80</v>
      </c>
      <c r="I10" s="241">
        <f t="shared" si="2"/>
        <v>80</v>
      </c>
      <c r="J10" s="246">
        <f t="shared" si="0"/>
        <v>7.5046754127821631E-5</v>
      </c>
    </row>
    <row r="11" spans="1:10" ht="12">
      <c r="A11" s="243">
        <v>713111</v>
      </c>
      <c r="B11" s="82" t="s">
        <v>215</v>
      </c>
      <c r="C11" s="244" t="s">
        <v>9</v>
      </c>
      <c r="D11" s="245">
        <v>1500</v>
      </c>
      <c r="E11" s="245">
        <v>1241.17</v>
      </c>
      <c r="F11" s="245">
        <v>1500</v>
      </c>
      <c r="G11" s="245">
        <v>1200</v>
      </c>
      <c r="H11" s="245">
        <f t="shared" si="1"/>
        <v>80</v>
      </c>
      <c r="I11" s="241">
        <f t="shared" si="2"/>
        <v>80</v>
      </c>
      <c r="J11" s="246">
        <f t="shared" si="0"/>
        <v>7.5046754127821631E-5</v>
      </c>
    </row>
    <row r="12" spans="1:10" ht="12">
      <c r="A12" s="239">
        <v>714100</v>
      </c>
      <c r="B12" s="240"/>
      <c r="C12" s="240" t="s">
        <v>10</v>
      </c>
      <c r="D12" s="241">
        <f>SUM(D13:D17)</f>
        <v>761839</v>
      </c>
      <c r="E12" s="241">
        <f>SUM(E13:E17)</f>
        <v>572044.71</v>
      </c>
      <c r="F12" s="241">
        <f>SUM(F13:F17)</f>
        <v>752911</v>
      </c>
      <c r="G12" s="241">
        <f>SUM(G13:G17)</f>
        <v>726292</v>
      </c>
      <c r="H12" s="241">
        <f t="shared" si="1"/>
        <v>95.334053520494493</v>
      </c>
      <c r="I12" s="241">
        <f t="shared" si="2"/>
        <v>96.464522367185495</v>
      </c>
      <c r="J12" s="242">
        <f t="shared" si="0"/>
        <v>4.5421547624169861E-2</v>
      </c>
    </row>
    <row r="13" spans="1:10" ht="12">
      <c r="A13" s="243">
        <v>714111</v>
      </c>
      <c r="B13" s="82" t="s">
        <v>215</v>
      </c>
      <c r="C13" s="244" t="s">
        <v>11</v>
      </c>
      <c r="D13" s="245">
        <v>52094</v>
      </c>
      <c r="E13" s="245">
        <v>37998.46</v>
      </c>
      <c r="F13" s="245">
        <v>50670</v>
      </c>
      <c r="G13" s="245">
        <v>40500</v>
      </c>
      <c r="H13" s="245">
        <f t="shared" si="1"/>
        <v>77.744078012822968</v>
      </c>
      <c r="I13" s="241">
        <f t="shared" si="2"/>
        <v>79.928952042628779</v>
      </c>
      <c r="J13" s="246">
        <f t="shared" si="0"/>
        <v>2.5328279518139801E-3</v>
      </c>
    </row>
    <row r="14" spans="1:10" ht="12">
      <c r="A14" s="243">
        <v>714112</v>
      </c>
      <c r="B14" s="82" t="s">
        <v>215</v>
      </c>
      <c r="C14" s="244" t="s">
        <v>12</v>
      </c>
      <c r="D14" s="245">
        <v>18000</v>
      </c>
      <c r="E14" s="245">
        <v>11386.69</v>
      </c>
      <c r="F14" s="245">
        <v>15200</v>
      </c>
      <c r="G14" s="245">
        <v>12160</v>
      </c>
      <c r="H14" s="245">
        <f t="shared" si="1"/>
        <v>67.555555555555557</v>
      </c>
      <c r="I14" s="241">
        <f t="shared" si="2"/>
        <v>80</v>
      </c>
      <c r="J14" s="246">
        <f t="shared" si="0"/>
        <v>7.6047377516192587E-4</v>
      </c>
    </row>
    <row r="15" spans="1:10" ht="12">
      <c r="A15" s="243">
        <v>714113</v>
      </c>
      <c r="B15" s="82" t="s">
        <v>215</v>
      </c>
      <c r="C15" s="244" t="s">
        <v>13</v>
      </c>
      <c r="D15" s="245">
        <v>184702</v>
      </c>
      <c r="E15" s="245">
        <v>144291.5</v>
      </c>
      <c r="F15" s="245">
        <v>184702</v>
      </c>
      <c r="G15" s="245">
        <v>157760</v>
      </c>
      <c r="H15" s="245">
        <f t="shared" si="1"/>
        <v>85.413260278719235</v>
      </c>
      <c r="I15" s="241">
        <f t="shared" si="2"/>
        <v>85.413260278719235</v>
      </c>
      <c r="J15" s="246">
        <f t="shared" si="0"/>
        <v>9.8661466093376178E-3</v>
      </c>
    </row>
    <row r="16" spans="1:10" ht="12">
      <c r="A16" s="243">
        <v>714121</v>
      </c>
      <c r="B16" s="82" t="s">
        <v>215</v>
      </c>
      <c r="C16" s="244" t="s">
        <v>14</v>
      </c>
      <c r="D16" s="245">
        <v>32269</v>
      </c>
      <c r="E16" s="245">
        <v>27315</v>
      </c>
      <c r="F16" s="245">
        <v>32269</v>
      </c>
      <c r="G16" s="245">
        <v>35816</v>
      </c>
      <c r="H16" s="245">
        <f t="shared" si="1"/>
        <v>110.9919737209086</v>
      </c>
      <c r="I16" s="241">
        <f t="shared" si="2"/>
        <v>110.9919737209086</v>
      </c>
      <c r="J16" s="246">
        <f t="shared" si="0"/>
        <v>2.239895454868383E-3</v>
      </c>
    </row>
    <row r="17" spans="1:10" ht="12">
      <c r="A17" s="243">
        <v>714131</v>
      </c>
      <c r="B17" s="82" t="s">
        <v>215</v>
      </c>
      <c r="C17" s="244" t="s">
        <v>15</v>
      </c>
      <c r="D17" s="245">
        <v>474774</v>
      </c>
      <c r="E17" s="245">
        <v>351053.06</v>
      </c>
      <c r="F17" s="245">
        <v>470070</v>
      </c>
      <c r="G17" s="245">
        <v>480056</v>
      </c>
      <c r="H17" s="245">
        <f t="shared" si="1"/>
        <v>101.11252932974426</v>
      </c>
      <c r="I17" s="241">
        <f t="shared" si="2"/>
        <v>102.12436445635757</v>
      </c>
      <c r="J17" s="246">
        <f t="shared" si="0"/>
        <v>3.002220383298795E-2</v>
      </c>
    </row>
    <row r="18" spans="1:10" ht="12">
      <c r="A18" s="239">
        <v>715100</v>
      </c>
      <c r="B18" s="240"/>
      <c r="C18" s="240" t="s">
        <v>16</v>
      </c>
      <c r="D18" s="241">
        <f>SUM(D19:D20)</f>
        <v>78</v>
      </c>
      <c r="E18" s="241">
        <f t="shared" ref="E18:G18" si="4">SUM(E19:E20)</f>
        <v>77.81</v>
      </c>
      <c r="F18" s="241">
        <f t="shared" si="4"/>
        <v>78</v>
      </c>
      <c r="G18" s="241">
        <f t="shared" si="4"/>
        <v>63</v>
      </c>
      <c r="H18" s="241">
        <f t="shared" si="1"/>
        <v>80.769230769230774</v>
      </c>
      <c r="I18" s="241">
        <f t="shared" si="2"/>
        <v>80.769230769230774</v>
      </c>
      <c r="J18" s="242">
        <f t="shared" si="0"/>
        <v>3.9399545917106358E-6</v>
      </c>
    </row>
    <row r="19" spans="1:10" ht="23.4">
      <c r="A19" s="243">
        <v>715132</v>
      </c>
      <c r="B19" s="82" t="s">
        <v>215</v>
      </c>
      <c r="C19" s="247" t="s">
        <v>17</v>
      </c>
      <c r="D19" s="245">
        <v>16</v>
      </c>
      <c r="E19" s="245">
        <v>15.81</v>
      </c>
      <c r="F19" s="245">
        <v>16</v>
      </c>
      <c r="G19" s="245">
        <v>13</v>
      </c>
      <c r="H19" s="245">
        <f t="shared" si="1"/>
        <v>81.25</v>
      </c>
      <c r="I19" s="241">
        <f t="shared" si="2"/>
        <v>81.25</v>
      </c>
      <c r="J19" s="246">
        <f t="shared" si="0"/>
        <v>8.13006503051401E-7</v>
      </c>
    </row>
    <row r="20" spans="1:10" ht="12">
      <c r="A20" s="243">
        <v>715141</v>
      </c>
      <c r="B20" s="82" t="s">
        <v>215</v>
      </c>
      <c r="C20" s="244" t="s">
        <v>214</v>
      </c>
      <c r="D20" s="245">
        <v>62</v>
      </c>
      <c r="E20" s="245">
        <v>62</v>
      </c>
      <c r="F20" s="245">
        <v>62</v>
      </c>
      <c r="G20" s="245">
        <v>50</v>
      </c>
      <c r="H20" s="245">
        <f t="shared" si="1"/>
        <v>80.645161290322577</v>
      </c>
      <c r="I20" s="241">
        <f t="shared" si="2"/>
        <v>80.645161290322577</v>
      </c>
      <c r="J20" s="246">
        <f t="shared" si="0"/>
        <v>3.1269480886592348E-6</v>
      </c>
    </row>
    <row r="21" spans="1:10" ht="12">
      <c r="A21" s="239">
        <v>715900</v>
      </c>
      <c r="B21" s="240"/>
      <c r="C21" s="240" t="s">
        <v>18</v>
      </c>
      <c r="D21" s="241">
        <f>SUM(D22)</f>
        <v>8</v>
      </c>
      <c r="E21" s="241">
        <f t="shared" ref="E21:G21" si="5">SUM(E22)</f>
        <v>7.64</v>
      </c>
      <c r="F21" s="241">
        <f t="shared" si="5"/>
        <v>8</v>
      </c>
      <c r="G21" s="241">
        <f t="shared" si="5"/>
        <v>7</v>
      </c>
      <c r="H21" s="241">
        <f t="shared" si="1"/>
        <v>87.5</v>
      </c>
      <c r="I21" s="241">
        <f t="shared" si="2"/>
        <v>87.5</v>
      </c>
      <c r="J21" s="246">
        <f t="shared" si="0"/>
        <v>4.3777273241229286E-7</v>
      </c>
    </row>
    <row r="22" spans="1:10" ht="12">
      <c r="A22" s="243">
        <v>715915</v>
      </c>
      <c r="B22" s="82" t="s">
        <v>215</v>
      </c>
      <c r="C22" s="247" t="s">
        <v>524</v>
      </c>
      <c r="D22" s="245">
        <v>8</v>
      </c>
      <c r="E22" s="245">
        <v>7.64</v>
      </c>
      <c r="F22" s="245">
        <v>8</v>
      </c>
      <c r="G22" s="245">
        <v>7</v>
      </c>
      <c r="H22" s="245">
        <f t="shared" si="1"/>
        <v>87.5</v>
      </c>
      <c r="I22" s="241">
        <f t="shared" si="2"/>
        <v>87.5</v>
      </c>
      <c r="J22" s="246">
        <f t="shared" si="0"/>
        <v>4.3777273241229286E-7</v>
      </c>
    </row>
    <row r="23" spans="1:10" ht="12">
      <c r="A23" s="239">
        <v>716100</v>
      </c>
      <c r="B23" s="240"/>
      <c r="C23" s="248" t="s">
        <v>201</v>
      </c>
      <c r="D23" s="241">
        <f>SUM(D24:D30)</f>
        <v>1763868</v>
      </c>
      <c r="E23" s="241">
        <f t="shared" ref="E23:F23" si="6">SUM(E24:E30)</f>
        <v>1376661.48</v>
      </c>
      <c r="F23" s="241">
        <f t="shared" si="6"/>
        <v>1736028</v>
      </c>
      <c r="G23" s="346">
        <f>SUM(G24:G30)</f>
        <v>2183225</v>
      </c>
      <c r="H23" s="241">
        <f t="shared" si="1"/>
        <v>123.77485163288864</v>
      </c>
      <c r="I23" s="241">
        <f t="shared" si="2"/>
        <v>125.75978037220598</v>
      </c>
      <c r="J23" s="242">
        <f t="shared" si="0"/>
        <v>0.13653662481726114</v>
      </c>
    </row>
    <row r="24" spans="1:10" ht="12">
      <c r="A24" s="243">
        <v>716111</v>
      </c>
      <c r="B24" s="82" t="s">
        <v>215</v>
      </c>
      <c r="C24" s="247" t="s">
        <v>19</v>
      </c>
      <c r="D24" s="245">
        <v>1343600</v>
      </c>
      <c r="E24" s="245">
        <v>1068700.19</v>
      </c>
      <c r="F24" s="245">
        <v>1343600</v>
      </c>
      <c r="G24" s="245">
        <v>1813519</v>
      </c>
      <c r="H24" s="245">
        <f t="shared" si="1"/>
        <v>134.97462042274486</v>
      </c>
      <c r="I24" s="241">
        <f t="shared" si="2"/>
        <v>134.97462042274486</v>
      </c>
      <c r="J24" s="246">
        <f t="shared" si="0"/>
        <v>0.11341559541594413</v>
      </c>
    </row>
    <row r="25" spans="1:10" ht="12">
      <c r="A25" s="243">
        <v>716112</v>
      </c>
      <c r="B25" s="82" t="s">
        <v>215</v>
      </c>
      <c r="C25" s="247" t="s">
        <v>20</v>
      </c>
      <c r="D25" s="245">
        <v>88616</v>
      </c>
      <c r="E25" s="245">
        <v>77913.63</v>
      </c>
      <c r="F25" s="245">
        <v>103884</v>
      </c>
      <c r="G25" s="245">
        <v>93450</v>
      </c>
      <c r="H25" s="245">
        <f t="shared" si="1"/>
        <v>105.45499684029973</v>
      </c>
      <c r="I25" s="241">
        <f t="shared" si="2"/>
        <v>89.956104886219251</v>
      </c>
      <c r="J25" s="246">
        <f t="shared" si="0"/>
        <v>5.8442659777041099E-3</v>
      </c>
    </row>
    <row r="26" spans="1:10" ht="12">
      <c r="A26" s="243">
        <v>716113</v>
      </c>
      <c r="B26" s="82" t="s">
        <v>215</v>
      </c>
      <c r="C26" s="247" t="s">
        <v>21</v>
      </c>
      <c r="D26" s="245">
        <v>20400</v>
      </c>
      <c r="E26" s="245">
        <v>7353.34</v>
      </c>
      <c r="F26" s="245">
        <v>9805</v>
      </c>
      <c r="G26" s="245">
        <v>8820</v>
      </c>
      <c r="H26" s="245">
        <f t="shared" si="1"/>
        <v>43.235294117647058</v>
      </c>
      <c r="I26" s="241">
        <f t="shared" si="2"/>
        <v>89.95410504844466</v>
      </c>
      <c r="J26" s="246">
        <f t="shared" si="0"/>
        <v>5.5159364283948896E-4</v>
      </c>
    </row>
    <row r="27" spans="1:10" ht="12">
      <c r="A27" s="243">
        <v>716114</v>
      </c>
      <c r="B27" s="82" t="s">
        <v>215</v>
      </c>
      <c r="C27" s="247" t="s">
        <v>22</v>
      </c>
      <c r="D27" s="245">
        <v>212</v>
      </c>
      <c r="E27" s="245">
        <v>0</v>
      </c>
      <c r="F27" s="245">
        <v>212</v>
      </c>
      <c r="G27" s="245">
        <v>250</v>
      </c>
      <c r="H27" s="245">
        <f t="shared" si="1"/>
        <v>117.9245283018868</v>
      </c>
      <c r="I27" s="241">
        <f t="shared" si="2"/>
        <v>117.9245283018868</v>
      </c>
      <c r="J27" s="246">
        <f t="shared" si="0"/>
        <v>1.5634740443296174E-5</v>
      </c>
    </row>
    <row r="28" spans="1:10" ht="23.4">
      <c r="A28" s="243">
        <v>716115</v>
      </c>
      <c r="B28" s="82" t="s">
        <v>215</v>
      </c>
      <c r="C28" s="247" t="s">
        <v>23</v>
      </c>
      <c r="D28" s="245">
        <v>175600</v>
      </c>
      <c r="E28" s="245">
        <v>103658.6</v>
      </c>
      <c r="F28" s="245">
        <v>138210</v>
      </c>
      <c r="G28" s="245">
        <v>124390</v>
      </c>
      <c r="H28" s="245">
        <f t="shared" si="1"/>
        <v>70.837129840546694</v>
      </c>
      <c r="I28" s="241">
        <f t="shared" si="2"/>
        <v>90.000723536647129</v>
      </c>
      <c r="J28" s="246">
        <f t="shared" si="0"/>
        <v>7.7792214549664441E-3</v>
      </c>
    </row>
    <row r="29" spans="1:10" ht="23.4">
      <c r="A29" s="243">
        <v>716116</v>
      </c>
      <c r="B29" s="82" t="s">
        <v>215</v>
      </c>
      <c r="C29" s="247" t="s">
        <v>24</v>
      </c>
      <c r="D29" s="245">
        <v>75540</v>
      </c>
      <c r="E29" s="245">
        <v>62488.28</v>
      </c>
      <c r="F29" s="245">
        <v>83317</v>
      </c>
      <c r="G29" s="245">
        <v>74940</v>
      </c>
      <c r="H29" s="245">
        <f t="shared" si="1"/>
        <v>99.205718824463858</v>
      </c>
      <c r="I29" s="241">
        <f t="shared" si="2"/>
        <v>89.9456293433513</v>
      </c>
      <c r="J29" s="246">
        <f t="shared" si="0"/>
        <v>4.6866697952824606E-3</v>
      </c>
    </row>
    <row r="30" spans="1:10" ht="12">
      <c r="A30" s="243">
        <v>716117</v>
      </c>
      <c r="B30" s="82" t="s">
        <v>215</v>
      </c>
      <c r="C30" s="247" t="s">
        <v>25</v>
      </c>
      <c r="D30" s="245">
        <v>59900</v>
      </c>
      <c r="E30" s="245">
        <v>56547.44</v>
      </c>
      <c r="F30" s="245">
        <v>57000</v>
      </c>
      <c r="G30" s="245">
        <v>67856</v>
      </c>
      <c r="H30" s="245">
        <f t="shared" si="1"/>
        <v>113.28213689482472</v>
      </c>
      <c r="I30" s="241">
        <f t="shared" si="2"/>
        <v>119.04561403508771</v>
      </c>
      <c r="J30" s="246">
        <f t="shared" si="0"/>
        <v>4.243643790081221E-3</v>
      </c>
    </row>
    <row r="31" spans="1:10" ht="12">
      <c r="A31" s="239">
        <v>717100</v>
      </c>
      <c r="B31" s="240"/>
      <c r="C31" s="240" t="s">
        <v>26</v>
      </c>
      <c r="D31" s="241">
        <f>SUM(D32:D34)</f>
        <v>4928725</v>
      </c>
      <c r="E31" s="241">
        <f t="shared" ref="E31:G31" si="7">SUM(E32:E34)</f>
        <v>3782470.35</v>
      </c>
      <c r="F31" s="241">
        <f t="shared" si="7"/>
        <v>5035728</v>
      </c>
      <c r="G31" s="241">
        <f t="shared" si="7"/>
        <v>5231455</v>
      </c>
      <c r="H31" s="241">
        <f t="shared" si="1"/>
        <v>106.14215644005296</v>
      </c>
      <c r="I31" s="241">
        <f t="shared" si="2"/>
        <v>103.88676671972752</v>
      </c>
      <c r="J31" s="242">
        <f t="shared" si="0"/>
        <v>0.32716976426313593</v>
      </c>
    </row>
    <row r="32" spans="1:10" ht="12">
      <c r="A32" s="243">
        <v>717114</v>
      </c>
      <c r="B32" s="82" t="s">
        <v>216</v>
      </c>
      <c r="C32" s="244" t="s">
        <v>202</v>
      </c>
      <c r="D32" s="245">
        <v>153798</v>
      </c>
      <c r="E32" s="245">
        <v>121003</v>
      </c>
      <c r="F32" s="245">
        <v>153798</v>
      </c>
      <c r="G32" s="347">
        <v>158588</v>
      </c>
      <c r="H32" s="245">
        <f t="shared" si="1"/>
        <v>103.11447483062199</v>
      </c>
      <c r="I32" s="241">
        <f t="shared" si="2"/>
        <v>103.11447483062199</v>
      </c>
      <c r="J32" s="246">
        <f t="shared" si="0"/>
        <v>9.9179288696858141E-3</v>
      </c>
    </row>
    <row r="33" spans="1:10" ht="12">
      <c r="A33" s="243">
        <v>717131</v>
      </c>
      <c r="B33" s="82" t="s">
        <v>216</v>
      </c>
      <c r="C33" s="244" t="s">
        <v>203</v>
      </c>
      <c r="D33" s="245">
        <v>485000</v>
      </c>
      <c r="E33" s="245">
        <v>370369.9</v>
      </c>
      <c r="F33" s="245">
        <v>493800</v>
      </c>
      <c r="G33" s="347">
        <v>515263</v>
      </c>
      <c r="H33" s="245">
        <f t="shared" si="1"/>
        <v>106.23979381443299</v>
      </c>
      <c r="I33" s="241">
        <f t="shared" si="2"/>
        <v>104.34649655731066</v>
      </c>
      <c r="J33" s="246">
        <f t="shared" si="0"/>
        <v>3.2224013060136468E-2</v>
      </c>
    </row>
    <row r="34" spans="1:10" ht="12">
      <c r="A34" s="243">
        <v>717141</v>
      </c>
      <c r="B34" s="82" t="s">
        <v>215</v>
      </c>
      <c r="C34" s="244" t="s">
        <v>238</v>
      </c>
      <c r="D34" s="245">
        <v>4289927</v>
      </c>
      <c r="E34" s="245">
        <v>3291097.45</v>
      </c>
      <c r="F34" s="245">
        <v>4388130</v>
      </c>
      <c r="G34" s="347">
        <v>4557604</v>
      </c>
      <c r="H34" s="245">
        <f t="shared" si="1"/>
        <v>106.23966328564565</v>
      </c>
      <c r="I34" s="241">
        <f t="shared" si="2"/>
        <v>103.86210071260422</v>
      </c>
      <c r="J34" s="246">
        <f t="shared" si="0"/>
        <v>0.28502782233331364</v>
      </c>
    </row>
    <row r="35" spans="1:10" ht="12">
      <c r="A35" s="249">
        <v>719100</v>
      </c>
      <c r="B35" s="250"/>
      <c r="C35" s="250" t="s">
        <v>27</v>
      </c>
      <c r="D35" s="251">
        <f>SUM(D36:D36)</f>
        <v>4</v>
      </c>
      <c r="E35" s="251">
        <f>SUM(E36:E36)</f>
        <v>13.17</v>
      </c>
      <c r="F35" s="251">
        <f>SUM(F36:F36)</f>
        <v>14</v>
      </c>
      <c r="G35" s="251">
        <f>SUM(G36:G36)</f>
        <v>11</v>
      </c>
      <c r="H35" s="251">
        <f t="shared" si="1"/>
        <v>275</v>
      </c>
      <c r="I35" s="241">
        <f t="shared" si="2"/>
        <v>78.571428571428569</v>
      </c>
      <c r="J35" s="252">
        <f t="shared" si="0"/>
        <v>6.8792857950503167E-7</v>
      </c>
    </row>
    <row r="36" spans="1:10" ht="12">
      <c r="A36" s="253">
        <v>719114</v>
      </c>
      <c r="B36" s="82" t="s">
        <v>217</v>
      </c>
      <c r="C36" s="253" t="s">
        <v>28</v>
      </c>
      <c r="D36" s="245">
        <v>4</v>
      </c>
      <c r="E36" s="245">
        <v>13.17</v>
      </c>
      <c r="F36" s="245">
        <v>14</v>
      </c>
      <c r="G36" s="245">
        <v>11</v>
      </c>
      <c r="H36" s="245">
        <f t="shared" si="1"/>
        <v>275</v>
      </c>
      <c r="I36" s="241">
        <f t="shared" si="2"/>
        <v>78.571428571428569</v>
      </c>
      <c r="J36" s="254">
        <f t="shared" si="0"/>
        <v>6.8792857950503167E-7</v>
      </c>
    </row>
    <row r="37" spans="1:10" ht="12">
      <c r="A37" s="255">
        <v>720000</v>
      </c>
      <c r="B37" s="256"/>
      <c r="C37" s="256" t="s">
        <v>29</v>
      </c>
      <c r="D37" s="257">
        <f>D38+D42+D45+D47+D50+D55+D64+D67+D69</f>
        <v>2383960</v>
      </c>
      <c r="E37" s="257">
        <f t="shared" ref="E37:G37" si="8">E38+E42+E45+E47+E50+E55+E64+E67+E69</f>
        <v>1640393.5799999998</v>
      </c>
      <c r="F37" s="257">
        <f t="shared" si="8"/>
        <v>2101912</v>
      </c>
      <c r="G37" s="257">
        <f t="shared" si="8"/>
        <v>1942644</v>
      </c>
      <c r="H37" s="258">
        <f t="shared" si="1"/>
        <v>81.488112216647934</v>
      </c>
      <c r="I37" s="241">
        <f t="shared" si="2"/>
        <v>92.42270846733831</v>
      </c>
      <c r="J37" s="259">
        <f t="shared" si="0"/>
        <v>0.12149093885490661</v>
      </c>
    </row>
    <row r="38" spans="1:10" ht="12">
      <c r="A38" s="260">
        <v>721100</v>
      </c>
      <c r="B38" s="260"/>
      <c r="C38" s="261" t="s">
        <v>30</v>
      </c>
      <c r="D38" s="241">
        <f>SUM(D39:D41)</f>
        <v>363250</v>
      </c>
      <c r="E38" s="241">
        <f t="shared" ref="E38:G38" si="9">SUM(E39:E41)</f>
        <v>269446.28000000003</v>
      </c>
      <c r="F38" s="241">
        <f t="shared" si="9"/>
        <v>285400</v>
      </c>
      <c r="G38" s="241">
        <f t="shared" si="9"/>
        <v>369100</v>
      </c>
      <c r="H38" s="241">
        <f t="shared" si="1"/>
        <v>101.61046111493461</v>
      </c>
      <c r="I38" s="241">
        <f t="shared" si="2"/>
        <v>129.32725998598457</v>
      </c>
      <c r="J38" s="242">
        <f t="shared" ref="J38:J69" si="10">G38/G$99</f>
        <v>2.3083130790482471E-2</v>
      </c>
    </row>
    <row r="39" spans="1:10" ht="12">
      <c r="A39" s="253">
        <v>721112</v>
      </c>
      <c r="B39" s="82" t="s">
        <v>219</v>
      </c>
      <c r="C39" s="253" t="s">
        <v>31</v>
      </c>
      <c r="D39" s="262">
        <v>8750</v>
      </c>
      <c r="E39" s="262">
        <v>8077.38</v>
      </c>
      <c r="F39" s="262">
        <v>9800</v>
      </c>
      <c r="G39" s="262">
        <v>8620</v>
      </c>
      <c r="H39" s="245">
        <f t="shared" si="1"/>
        <v>98.514285714285705</v>
      </c>
      <c r="I39" s="241">
        <f t="shared" si="2"/>
        <v>87.959183673469383</v>
      </c>
      <c r="J39" s="246">
        <f t="shared" si="10"/>
        <v>5.3908585048485205E-4</v>
      </c>
    </row>
    <row r="40" spans="1:10" ht="12">
      <c r="A40" s="263">
        <v>721121</v>
      </c>
      <c r="B40" s="82" t="s">
        <v>220</v>
      </c>
      <c r="C40" s="264" t="s">
        <v>32</v>
      </c>
      <c r="D40" s="265">
        <v>275000</v>
      </c>
      <c r="E40" s="262">
        <v>219749.31</v>
      </c>
      <c r="F40" s="262">
        <v>220000</v>
      </c>
      <c r="G40" s="262">
        <v>276000</v>
      </c>
      <c r="H40" s="245">
        <f t="shared" si="1"/>
        <v>100.36363636363636</v>
      </c>
      <c r="I40" s="241">
        <f t="shared" si="2"/>
        <v>125.45454545454547</v>
      </c>
      <c r="J40" s="246">
        <f t="shared" si="10"/>
        <v>1.7260753449398977E-2</v>
      </c>
    </row>
    <row r="41" spans="1:10" ht="12">
      <c r="A41" s="315">
        <v>721122</v>
      </c>
      <c r="B41" s="82" t="s">
        <v>221</v>
      </c>
      <c r="C41" s="264" t="s">
        <v>276</v>
      </c>
      <c r="D41" s="265">
        <v>79500</v>
      </c>
      <c r="E41" s="262">
        <v>41619.589999999997</v>
      </c>
      <c r="F41" s="262">
        <v>55600</v>
      </c>
      <c r="G41" s="262">
        <v>84480</v>
      </c>
      <c r="H41" s="245">
        <f t="shared" si="1"/>
        <v>106.26415094339623</v>
      </c>
      <c r="I41" s="241">
        <f t="shared" si="2"/>
        <v>151.94244604316546</v>
      </c>
      <c r="J41" s="246">
        <f t="shared" si="10"/>
        <v>5.2832914905986432E-3</v>
      </c>
    </row>
    <row r="42" spans="1:10" ht="12">
      <c r="A42" s="239">
        <v>721200</v>
      </c>
      <c r="B42" s="240"/>
      <c r="C42" s="240" t="s">
        <v>33</v>
      </c>
      <c r="D42" s="241">
        <f>SUM(D43+D44)</f>
        <v>3400</v>
      </c>
      <c r="E42" s="241">
        <f t="shared" ref="E42:G42" si="11">SUM(E43+E44)</f>
        <v>2494.9499999999998</v>
      </c>
      <c r="F42" s="241">
        <f t="shared" si="11"/>
        <v>3360</v>
      </c>
      <c r="G42" s="241">
        <f t="shared" si="11"/>
        <v>560</v>
      </c>
      <c r="H42" s="241">
        <f t="shared" si="1"/>
        <v>16.470588235294116</v>
      </c>
      <c r="I42" s="241">
        <f t="shared" si="2"/>
        <v>16.666666666666664</v>
      </c>
      <c r="J42" s="242">
        <f t="shared" si="10"/>
        <v>3.5021818592983426E-5</v>
      </c>
    </row>
    <row r="43" spans="1:10" ht="12">
      <c r="A43" s="243">
        <v>721211</v>
      </c>
      <c r="B43" s="82" t="s">
        <v>222</v>
      </c>
      <c r="C43" s="244" t="s">
        <v>277</v>
      </c>
      <c r="D43" s="262">
        <v>200</v>
      </c>
      <c r="E43" s="262">
        <v>194.31</v>
      </c>
      <c r="F43" s="262">
        <v>260</v>
      </c>
      <c r="G43" s="262">
        <v>210</v>
      </c>
      <c r="H43" s="245">
        <f t="shared" ref="H43" si="12">G43/D43*100</f>
        <v>105</v>
      </c>
      <c r="I43" s="241">
        <f t="shared" si="2"/>
        <v>80.769230769230774</v>
      </c>
      <c r="J43" s="246">
        <f t="shared" si="10"/>
        <v>1.3133181972368786E-5</v>
      </c>
    </row>
    <row r="44" spans="1:10" ht="12">
      <c r="A44" s="243">
        <v>721227</v>
      </c>
      <c r="B44" s="82" t="s">
        <v>222</v>
      </c>
      <c r="C44" s="244" t="s">
        <v>34</v>
      </c>
      <c r="D44" s="262">
        <v>3200</v>
      </c>
      <c r="E44" s="262">
        <v>2300.64</v>
      </c>
      <c r="F44" s="262">
        <v>3100</v>
      </c>
      <c r="G44" s="262">
        <v>350</v>
      </c>
      <c r="H44" s="245">
        <f t="shared" si="1"/>
        <v>10.9375</v>
      </c>
      <c r="I44" s="241">
        <f t="shared" si="2"/>
        <v>11.29032258064516</v>
      </c>
      <c r="J44" s="246">
        <f t="shared" si="10"/>
        <v>2.1888636620614645E-5</v>
      </c>
    </row>
    <row r="45" spans="1:10" ht="12">
      <c r="A45" s="239">
        <v>722100</v>
      </c>
      <c r="B45" s="240"/>
      <c r="C45" s="240" t="s">
        <v>35</v>
      </c>
      <c r="D45" s="241">
        <f>SUM(D46:D46)</f>
        <v>239391</v>
      </c>
      <c r="E45" s="241">
        <f t="shared" ref="E45:G45" si="13">SUM(E46:E46)</f>
        <v>172497</v>
      </c>
      <c r="F45" s="241">
        <f t="shared" si="13"/>
        <v>230000</v>
      </c>
      <c r="G45" s="241">
        <f t="shared" si="13"/>
        <v>184000</v>
      </c>
      <c r="H45" s="241">
        <f t="shared" si="1"/>
        <v>76.861703238634703</v>
      </c>
      <c r="I45" s="241">
        <f t="shared" si="2"/>
        <v>80</v>
      </c>
      <c r="J45" s="242">
        <f t="shared" si="10"/>
        <v>1.1507168966265984E-2</v>
      </c>
    </row>
    <row r="46" spans="1:10" ht="12">
      <c r="A46" s="243">
        <v>722131</v>
      </c>
      <c r="B46" s="82" t="s">
        <v>215</v>
      </c>
      <c r="C46" s="244" t="s">
        <v>36</v>
      </c>
      <c r="D46" s="262">
        <v>239391</v>
      </c>
      <c r="E46" s="262">
        <v>172497</v>
      </c>
      <c r="F46" s="262">
        <v>230000</v>
      </c>
      <c r="G46" s="262">
        <v>184000</v>
      </c>
      <c r="H46" s="245">
        <f t="shared" si="1"/>
        <v>76.861703238634703</v>
      </c>
      <c r="I46" s="241">
        <f t="shared" si="2"/>
        <v>80</v>
      </c>
      <c r="J46" s="246">
        <f t="shared" si="10"/>
        <v>1.1507168966265984E-2</v>
      </c>
    </row>
    <row r="47" spans="1:10" ht="12">
      <c r="A47" s="239">
        <v>722300</v>
      </c>
      <c r="B47" s="240"/>
      <c r="C47" s="240" t="s">
        <v>37</v>
      </c>
      <c r="D47" s="241">
        <f>SUM(D48:D49)</f>
        <v>517199</v>
      </c>
      <c r="E47" s="241">
        <f t="shared" ref="E47:G47" si="14">SUM(E48:E49)</f>
        <v>297568.99</v>
      </c>
      <c r="F47" s="241">
        <f t="shared" si="14"/>
        <v>397760</v>
      </c>
      <c r="G47" s="241">
        <f t="shared" si="14"/>
        <v>439208</v>
      </c>
      <c r="H47" s="241">
        <f t="shared" si="1"/>
        <v>84.920504486667596</v>
      </c>
      <c r="I47" s="241">
        <f t="shared" si="2"/>
        <v>110.42035398230088</v>
      </c>
      <c r="J47" s="242">
        <f t="shared" si="10"/>
        <v>2.7467612322476902E-2</v>
      </c>
    </row>
    <row r="48" spans="1:10" ht="12">
      <c r="A48" s="243">
        <v>722321</v>
      </c>
      <c r="B48" s="82" t="s">
        <v>215</v>
      </c>
      <c r="C48" s="244" t="s">
        <v>38</v>
      </c>
      <c r="D48" s="262">
        <v>374700</v>
      </c>
      <c r="E48" s="262">
        <v>247695.51</v>
      </c>
      <c r="F48" s="262">
        <v>330260</v>
      </c>
      <c r="G48" s="262">
        <v>364208</v>
      </c>
      <c r="H48" s="245">
        <f t="shared" si="1"/>
        <v>97.199893247931684</v>
      </c>
      <c r="I48" s="241">
        <f t="shared" si="2"/>
        <v>110.27917398413372</v>
      </c>
      <c r="J48" s="246">
        <f t="shared" si="10"/>
        <v>2.2777190189488049E-2</v>
      </c>
    </row>
    <row r="49" spans="1:10" ht="12">
      <c r="A49" s="243">
        <v>722329</v>
      </c>
      <c r="B49" s="82" t="s">
        <v>215</v>
      </c>
      <c r="C49" s="244" t="s">
        <v>278</v>
      </c>
      <c r="D49" s="262">
        <v>142499</v>
      </c>
      <c r="E49" s="262">
        <v>49873.48</v>
      </c>
      <c r="F49" s="262">
        <v>67500</v>
      </c>
      <c r="G49" s="262">
        <v>75000</v>
      </c>
      <c r="H49" s="245">
        <f t="shared" ref="H49" si="15">G49/D49*100</f>
        <v>52.631948294373998</v>
      </c>
      <c r="I49" s="241">
        <f t="shared" si="2"/>
        <v>111.11111111111111</v>
      </c>
      <c r="J49" s="246">
        <f t="shared" si="10"/>
        <v>4.6904221329888522E-3</v>
      </c>
    </row>
    <row r="50" spans="1:10" ht="12">
      <c r="A50" s="239">
        <v>722400</v>
      </c>
      <c r="B50" s="240"/>
      <c r="C50" s="240" t="s">
        <v>39</v>
      </c>
      <c r="D50" s="241">
        <f>SUM(D51:D54)</f>
        <v>538744</v>
      </c>
      <c r="E50" s="241">
        <f t="shared" ref="E50:G50" si="16">SUM(E51:E54)</f>
        <v>393965.20999999996</v>
      </c>
      <c r="F50" s="241">
        <f t="shared" si="16"/>
        <v>518792</v>
      </c>
      <c r="G50" s="241">
        <f t="shared" si="16"/>
        <v>416520</v>
      </c>
      <c r="H50" s="241">
        <f t="shared" si="1"/>
        <v>77.313158011968568</v>
      </c>
      <c r="I50" s="241">
        <f t="shared" si="2"/>
        <v>80.28651174266372</v>
      </c>
      <c r="J50" s="242">
        <f t="shared" si="10"/>
        <v>2.6048728357766889E-2</v>
      </c>
    </row>
    <row r="51" spans="1:10" ht="12">
      <c r="A51" s="243">
        <v>722433</v>
      </c>
      <c r="B51" s="82" t="s">
        <v>223</v>
      </c>
      <c r="C51" s="244" t="s">
        <v>40</v>
      </c>
      <c r="D51" s="245">
        <v>110000</v>
      </c>
      <c r="E51" s="245">
        <v>108022.25</v>
      </c>
      <c r="F51" s="245">
        <v>140030</v>
      </c>
      <c r="G51" s="245">
        <v>112024</v>
      </c>
      <c r="H51" s="245">
        <f t="shared" si="1"/>
        <v>101.84</v>
      </c>
      <c r="I51" s="241">
        <f t="shared" si="2"/>
        <v>80</v>
      </c>
      <c r="J51" s="246">
        <f t="shared" si="10"/>
        <v>7.0058646536792423E-3</v>
      </c>
    </row>
    <row r="52" spans="1:10" ht="12">
      <c r="A52" s="243">
        <v>722435</v>
      </c>
      <c r="B52" s="82" t="s">
        <v>224</v>
      </c>
      <c r="C52" s="244" t="s">
        <v>41</v>
      </c>
      <c r="D52" s="245">
        <v>210000</v>
      </c>
      <c r="E52" s="245">
        <v>176329.45</v>
      </c>
      <c r="F52" s="245">
        <v>235000</v>
      </c>
      <c r="G52" s="245">
        <v>188000</v>
      </c>
      <c r="H52" s="245">
        <f t="shared" si="1"/>
        <v>89.523809523809533</v>
      </c>
      <c r="I52" s="241">
        <f t="shared" si="2"/>
        <v>80</v>
      </c>
      <c r="J52" s="246">
        <f t="shared" si="10"/>
        <v>1.1757324813358722E-2</v>
      </c>
    </row>
    <row r="53" spans="1:10" ht="12">
      <c r="A53" s="243">
        <v>722442</v>
      </c>
      <c r="B53" s="267" t="s">
        <v>232</v>
      </c>
      <c r="C53" s="244" t="s">
        <v>42</v>
      </c>
      <c r="D53" s="245">
        <v>202545</v>
      </c>
      <c r="E53" s="245">
        <v>102470.65</v>
      </c>
      <c r="F53" s="245">
        <v>136620</v>
      </c>
      <c r="G53" s="245">
        <v>109296</v>
      </c>
      <c r="H53" s="245">
        <f t="shared" si="1"/>
        <v>53.961341924016878</v>
      </c>
      <c r="I53" s="241">
        <f t="shared" si="2"/>
        <v>80</v>
      </c>
      <c r="J53" s="246">
        <f t="shared" si="10"/>
        <v>6.8352583659619945E-3</v>
      </c>
    </row>
    <row r="54" spans="1:10" ht="12">
      <c r="A54" s="243">
        <v>722474</v>
      </c>
      <c r="B54" s="82" t="s">
        <v>225</v>
      </c>
      <c r="C54" s="244" t="s">
        <v>43</v>
      </c>
      <c r="D54" s="245">
        <v>16199</v>
      </c>
      <c r="E54" s="245">
        <v>7142.86</v>
      </c>
      <c r="F54" s="245">
        <v>7142</v>
      </c>
      <c r="G54" s="245">
        <v>7200</v>
      </c>
      <c r="H54" s="245">
        <f t="shared" si="1"/>
        <v>44.447188098030743</v>
      </c>
      <c r="I54" s="241">
        <f t="shared" si="2"/>
        <v>100.8120974516942</v>
      </c>
      <c r="J54" s="246">
        <f t="shared" si="10"/>
        <v>4.5028052476692979E-4</v>
      </c>
    </row>
    <row r="55" spans="1:10" ht="12">
      <c r="A55" s="239">
        <v>722500</v>
      </c>
      <c r="B55" s="244"/>
      <c r="C55" s="240" t="s">
        <v>44</v>
      </c>
      <c r="D55" s="241">
        <f>SUM(D56:D63)</f>
        <v>638870</v>
      </c>
      <c r="E55" s="241">
        <f t="shared" ref="E55:G55" si="17">SUM(E56:E63)</f>
        <v>445078.93</v>
      </c>
      <c r="F55" s="241">
        <f t="shared" si="17"/>
        <v>587574</v>
      </c>
      <c r="G55" s="241">
        <f t="shared" si="17"/>
        <v>470040</v>
      </c>
      <c r="H55" s="241">
        <f t="shared" si="1"/>
        <v>73.573653481929028</v>
      </c>
      <c r="I55" s="241">
        <f t="shared" si="2"/>
        <v>79.996732326481435</v>
      </c>
      <c r="J55" s="242">
        <f t="shared" si="10"/>
        <v>2.9395813591867735E-2</v>
      </c>
    </row>
    <row r="56" spans="1:10" ht="12">
      <c r="A56" s="243">
        <v>722515</v>
      </c>
      <c r="B56" s="82" t="s">
        <v>215</v>
      </c>
      <c r="C56" s="244" t="s">
        <v>45</v>
      </c>
      <c r="D56" s="262">
        <v>17993</v>
      </c>
      <c r="E56" s="262">
        <v>10536.77</v>
      </c>
      <c r="F56" s="262">
        <v>14050</v>
      </c>
      <c r="G56" s="262">
        <v>11250</v>
      </c>
      <c r="H56" s="245">
        <f t="shared" ref="H56:H99" si="18">G56/D56*100</f>
        <v>62.52431501139332</v>
      </c>
      <c r="I56" s="241">
        <f t="shared" ref="I56:I99" si="19">G56/F56*100</f>
        <v>80.071174377224196</v>
      </c>
      <c r="J56" s="246">
        <f t="shared" si="10"/>
        <v>7.0356331994832785E-4</v>
      </c>
    </row>
    <row r="57" spans="1:10" ht="12">
      <c r="A57" s="243">
        <v>722516</v>
      </c>
      <c r="B57" s="82" t="s">
        <v>215</v>
      </c>
      <c r="C57" s="244" t="s">
        <v>46</v>
      </c>
      <c r="D57" s="262">
        <v>217014</v>
      </c>
      <c r="E57" s="262">
        <v>153758</v>
      </c>
      <c r="F57" s="262">
        <v>205010</v>
      </c>
      <c r="G57" s="262">
        <v>164008</v>
      </c>
      <c r="H57" s="245">
        <f t="shared" si="18"/>
        <v>75.574847705677968</v>
      </c>
      <c r="I57" s="241">
        <f t="shared" si="19"/>
        <v>80</v>
      </c>
      <c r="J57" s="246">
        <f t="shared" si="10"/>
        <v>1.0256890042496474E-2</v>
      </c>
    </row>
    <row r="58" spans="1:10" ht="12">
      <c r="A58" s="243">
        <v>722531</v>
      </c>
      <c r="B58" s="82" t="s">
        <v>216</v>
      </c>
      <c r="C58" s="244" t="s">
        <v>47</v>
      </c>
      <c r="D58" s="262">
        <v>72324</v>
      </c>
      <c r="E58" s="262">
        <v>49945.06</v>
      </c>
      <c r="F58" s="262">
        <v>66660</v>
      </c>
      <c r="G58" s="262">
        <v>53300</v>
      </c>
      <c r="H58" s="245">
        <f t="shared" si="18"/>
        <v>73.696145124716551</v>
      </c>
      <c r="I58" s="241">
        <f t="shared" si="19"/>
        <v>79.957995799579962</v>
      </c>
      <c r="J58" s="246">
        <f t="shared" si="10"/>
        <v>3.3333266625107444E-3</v>
      </c>
    </row>
    <row r="59" spans="1:10" ht="12">
      <c r="A59" s="243">
        <v>722532</v>
      </c>
      <c r="B59" s="82" t="s">
        <v>216</v>
      </c>
      <c r="C59" s="244" t="s">
        <v>48</v>
      </c>
      <c r="D59" s="262">
        <v>179339</v>
      </c>
      <c r="E59" s="262">
        <v>139000.4</v>
      </c>
      <c r="F59" s="262">
        <v>179339</v>
      </c>
      <c r="G59" s="262">
        <v>143470</v>
      </c>
      <c r="H59" s="245">
        <f t="shared" si="18"/>
        <v>79.999330876161906</v>
      </c>
      <c r="I59" s="241">
        <f t="shared" si="19"/>
        <v>79.999330876161906</v>
      </c>
      <c r="J59" s="246">
        <f t="shared" si="10"/>
        <v>8.9724648455988074E-3</v>
      </c>
    </row>
    <row r="60" spans="1:10" ht="23.4">
      <c r="A60" s="243">
        <v>722581</v>
      </c>
      <c r="B60" s="82" t="s">
        <v>217</v>
      </c>
      <c r="C60" s="247" t="s">
        <v>49</v>
      </c>
      <c r="D60" s="262">
        <v>148718</v>
      </c>
      <c r="E60" s="262">
        <v>89177.53</v>
      </c>
      <c r="F60" s="262">
        <v>119100</v>
      </c>
      <c r="G60" s="262">
        <v>95280</v>
      </c>
      <c r="H60" s="245">
        <f t="shared" si="18"/>
        <v>64.067564114633072</v>
      </c>
      <c r="I60" s="241">
        <f t="shared" si="19"/>
        <v>80</v>
      </c>
      <c r="J60" s="246">
        <f t="shared" si="10"/>
        <v>5.9587122777490379E-3</v>
      </c>
    </row>
    <row r="61" spans="1:10" ht="21.75" customHeight="1">
      <c r="A61" s="243">
        <v>722582</v>
      </c>
      <c r="B61" s="82" t="s">
        <v>217</v>
      </c>
      <c r="C61" s="247" t="s">
        <v>50</v>
      </c>
      <c r="D61" s="262">
        <v>3345</v>
      </c>
      <c r="E61" s="262">
        <v>2608</v>
      </c>
      <c r="F61" s="262">
        <v>3345</v>
      </c>
      <c r="G61" s="262">
        <v>2676</v>
      </c>
      <c r="H61" s="245">
        <f t="shared" si="18"/>
        <v>80</v>
      </c>
      <c r="I61" s="241">
        <f t="shared" si="19"/>
        <v>80</v>
      </c>
      <c r="J61" s="246">
        <f t="shared" si="10"/>
        <v>1.6735426170504225E-4</v>
      </c>
    </row>
    <row r="62" spans="1:10" ht="12">
      <c r="A62" s="243">
        <v>722583</v>
      </c>
      <c r="B62" s="82" t="s">
        <v>218</v>
      </c>
      <c r="C62" s="247" t="s">
        <v>51</v>
      </c>
      <c r="D62" s="262">
        <v>69</v>
      </c>
      <c r="E62" s="262">
        <v>34.01</v>
      </c>
      <c r="F62" s="262">
        <v>45</v>
      </c>
      <c r="G62" s="262">
        <v>36</v>
      </c>
      <c r="H62" s="245">
        <f t="shared" si="18"/>
        <v>52.173913043478258</v>
      </c>
      <c r="I62" s="241">
        <f t="shared" si="19"/>
        <v>80</v>
      </c>
      <c r="J62" s="246">
        <f t="shared" si="10"/>
        <v>2.2514026238346489E-6</v>
      </c>
    </row>
    <row r="63" spans="1:10" ht="12">
      <c r="A63" s="243">
        <v>722584</v>
      </c>
      <c r="B63" s="82" t="s">
        <v>218</v>
      </c>
      <c r="C63" s="247" t="s">
        <v>52</v>
      </c>
      <c r="D63" s="262">
        <v>68</v>
      </c>
      <c r="E63" s="262">
        <v>19.16</v>
      </c>
      <c r="F63" s="262">
        <v>25</v>
      </c>
      <c r="G63" s="262">
        <v>20</v>
      </c>
      <c r="H63" s="245">
        <f t="shared" si="18"/>
        <v>29.411764705882355</v>
      </c>
      <c r="I63" s="241">
        <f t="shared" si="19"/>
        <v>80</v>
      </c>
      <c r="J63" s="246">
        <f t="shared" si="10"/>
        <v>1.2507792354636939E-6</v>
      </c>
    </row>
    <row r="64" spans="1:10" ht="12">
      <c r="A64" s="239">
        <v>722600</v>
      </c>
      <c r="B64" s="266"/>
      <c r="C64" s="248" t="s">
        <v>279</v>
      </c>
      <c r="D64" s="268">
        <f>SUM(D65:D66)</f>
        <v>55638</v>
      </c>
      <c r="E64" s="268">
        <f t="shared" ref="E64:G64" si="20">SUM(E65:E66)</f>
        <v>47602.22</v>
      </c>
      <c r="F64" s="268">
        <f t="shared" si="20"/>
        <v>63466</v>
      </c>
      <c r="G64" s="268">
        <f t="shared" si="20"/>
        <v>50768</v>
      </c>
      <c r="H64" s="241">
        <f>G64/D64*100</f>
        <v>91.24698946763003</v>
      </c>
      <c r="I64" s="241">
        <f t="shared" si="19"/>
        <v>79.992436895345548</v>
      </c>
      <c r="J64" s="242">
        <f t="shared" si="10"/>
        <v>3.1749780113010406E-3</v>
      </c>
    </row>
    <row r="65" spans="1:10" ht="12">
      <c r="A65" s="243">
        <v>722611</v>
      </c>
      <c r="B65" s="82" t="s">
        <v>218</v>
      </c>
      <c r="C65" s="247" t="s">
        <v>280</v>
      </c>
      <c r="D65" s="262">
        <v>51908</v>
      </c>
      <c r="E65" s="262">
        <v>45102.22</v>
      </c>
      <c r="F65" s="262">
        <v>60136</v>
      </c>
      <c r="G65" s="262">
        <v>48108</v>
      </c>
      <c r="H65" s="245">
        <f t="shared" si="18"/>
        <v>92.679355783308935</v>
      </c>
      <c r="I65" s="241">
        <f t="shared" si="19"/>
        <v>79.998669682054015</v>
      </c>
      <c r="J65" s="246">
        <f t="shared" si="10"/>
        <v>3.0086243729843692E-3</v>
      </c>
    </row>
    <row r="66" spans="1:10" ht="12">
      <c r="A66" s="243">
        <v>722631</v>
      </c>
      <c r="B66" s="82" t="s">
        <v>218</v>
      </c>
      <c r="C66" s="247" t="s">
        <v>281</v>
      </c>
      <c r="D66" s="262">
        <v>3730</v>
      </c>
      <c r="E66" s="262">
        <v>2500</v>
      </c>
      <c r="F66" s="262">
        <v>3330</v>
      </c>
      <c r="G66" s="262">
        <v>2660</v>
      </c>
      <c r="H66" s="245">
        <f t="shared" ref="H66" si="21">G66/D66*100</f>
        <v>71.31367292225201</v>
      </c>
      <c r="I66" s="241">
        <f t="shared" si="19"/>
        <v>79.87987987987988</v>
      </c>
      <c r="J66" s="246">
        <f t="shared" si="10"/>
        <v>1.6635363831667127E-4</v>
      </c>
    </row>
    <row r="67" spans="1:10" ht="12">
      <c r="A67" s="239">
        <v>722700</v>
      </c>
      <c r="B67" s="240"/>
      <c r="C67" s="240" t="s">
        <v>53</v>
      </c>
      <c r="D67" s="241">
        <f>SUM(D68:D68)</f>
        <v>1486</v>
      </c>
      <c r="E67" s="241">
        <f t="shared" ref="E67:G67" si="22">SUM(E68:E68)</f>
        <v>0</v>
      </c>
      <c r="F67" s="241">
        <f>SUM(F68:F68)</f>
        <v>0</v>
      </c>
      <c r="G67" s="241">
        <f t="shared" si="22"/>
        <v>0</v>
      </c>
      <c r="H67" s="241">
        <f t="shared" si="18"/>
        <v>0</v>
      </c>
      <c r="I67" s="241" t="e">
        <f t="shared" si="19"/>
        <v>#DIV/0!</v>
      </c>
      <c r="J67" s="242">
        <f t="shared" si="10"/>
        <v>0</v>
      </c>
    </row>
    <row r="68" spans="1:10" ht="12">
      <c r="A68" s="269">
        <v>722719</v>
      </c>
      <c r="B68" s="82" t="s">
        <v>215</v>
      </c>
      <c r="C68" s="270" t="s">
        <v>54</v>
      </c>
      <c r="D68" s="245">
        <v>1486</v>
      </c>
      <c r="E68" s="245">
        <v>0</v>
      </c>
      <c r="F68" s="245">
        <v>0</v>
      </c>
      <c r="G68" s="245">
        <v>0</v>
      </c>
      <c r="H68" s="245">
        <f t="shared" si="18"/>
        <v>0</v>
      </c>
      <c r="I68" s="241" t="e">
        <f t="shared" si="19"/>
        <v>#DIV/0!</v>
      </c>
      <c r="J68" s="246">
        <f t="shared" si="10"/>
        <v>0</v>
      </c>
    </row>
    <row r="69" spans="1:10" ht="12">
      <c r="A69" s="260">
        <v>723100</v>
      </c>
      <c r="B69" s="82"/>
      <c r="C69" s="260" t="s">
        <v>55</v>
      </c>
      <c r="D69" s="241">
        <f>SUM(D70:D70)</f>
        <v>25982</v>
      </c>
      <c r="E69" s="241">
        <f t="shared" ref="E69:G69" si="23">SUM(E70:E70)</f>
        <v>11740</v>
      </c>
      <c r="F69" s="241">
        <f t="shared" si="23"/>
        <v>15560</v>
      </c>
      <c r="G69" s="241">
        <f t="shared" si="23"/>
        <v>12448</v>
      </c>
      <c r="H69" s="241">
        <f t="shared" si="18"/>
        <v>47.910091601878221</v>
      </c>
      <c r="I69" s="241">
        <f t="shared" si="19"/>
        <v>80</v>
      </c>
      <c r="J69" s="242">
        <f t="shared" si="10"/>
        <v>7.7848499615260308E-4</v>
      </c>
    </row>
    <row r="70" spans="1:10" ht="12">
      <c r="A70" s="263">
        <v>723131</v>
      </c>
      <c r="B70" s="82" t="s">
        <v>215</v>
      </c>
      <c r="C70" s="264" t="s">
        <v>56</v>
      </c>
      <c r="D70" s="265">
        <v>25982</v>
      </c>
      <c r="E70" s="262">
        <v>11740</v>
      </c>
      <c r="F70" s="265">
        <v>15560</v>
      </c>
      <c r="G70" s="265">
        <v>12448</v>
      </c>
      <c r="H70" s="245">
        <f t="shared" si="18"/>
        <v>47.910091601878221</v>
      </c>
      <c r="I70" s="241">
        <f t="shared" si="19"/>
        <v>80</v>
      </c>
      <c r="J70" s="246">
        <f t="shared" ref="J70:J99" si="24">G70/G$99</f>
        <v>7.7848499615260308E-4</v>
      </c>
    </row>
    <row r="71" spans="1:10" ht="12">
      <c r="A71" s="239">
        <v>730000</v>
      </c>
      <c r="B71" s="240"/>
      <c r="C71" s="240" t="s">
        <v>57</v>
      </c>
      <c r="D71" s="241">
        <f>D72+D74</f>
        <v>2869894</v>
      </c>
      <c r="E71" s="241">
        <f t="shared" ref="E71:G71" si="25">E72+E74</f>
        <v>246894.98</v>
      </c>
      <c r="F71" s="241">
        <f t="shared" si="25"/>
        <v>476643</v>
      </c>
      <c r="G71" s="241">
        <f t="shared" si="25"/>
        <v>3581875</v>
      </c>
      <c r="H71" s="241">
        <f t="shared" si="18"/>
        <v>124.80861662486488</v>
      </c>
      <c r="I71" s="241">
        <f t="shared" si="19"/>
        <v>751.47961891814214</v>
      </c>
      <c r="J71" s="242">
        <f t="shared" si="24"/>
        <v>0.22400674370132592</v>
      </c>
    </row>
    <row r="72" spans="1:10" ht="12">
      <c r="A72" s="260">
        <v>731100</v>
      </c>
      <c r="B72" s="260"/>
      <c r="C72" s="260" t="s">
        <v>282</v>
      </c>
      <c r="D72" s="241">
        <f>SUM(D73:D73)</f>
        <v>50000</v>
      </c>
      <c r="E72" s="241">
        <f t="shared" ref="E72:G72" si="26">SUM(E73:E73)</f>
        <v>0</v>
      </c>
      <c r="F72" s="241">
        <f t="shared" si="26"/>
        <v>0</v>
      </c>
      <c r="G72" s="241">
        <f t="shared" si="26"/>
        <v>0</v>
      </c>
      <c r="H72" s="241">
        <f t="shared" ref="H72:H73" si="27">G72/D72*100</f>
        <v>0</v>
      </c>
      <c r="I72" s="241" t="e">
        <f t="shared" si="19"/>
        <v>#DIV/0!</v>
      </c>
      <c r="J72" s="242">
        <f t="shared" si="24"/>
        <v>0</v>
      </c>
    </row>
    <row r="73" spans="1:10" ht="12">
      <c r="A73" s="253">
        <v>731121</v>
      </c>
      <c r="B73" s="82"/>
      <c r="C73" s="253" t="s">
        <v>283</v>
      </c>
      <c r="D73" s="245">
        <v>50000</v>
      </c>
      <c r="E73" s="245">
        <v>0</v>
      </c>
      <c r="F73" s="245">
        <v>0</v>
      </c>
      <c r="G73" s="245">
        <v>0</v>
      </c>
      <c r="H73" s="245">
        <f t="shared" si="27"/>
        <v>0</v>
      </c>
      <c r="I73" s="241" t="e">
        <f t="shared" si="19"/>
        <v>#DIV/0!</v>
      </c>
      <c r="J73" s="246">
        <f t="shared" si="24"/>
        <v>0</v>
      </c>
    </row>
    <row r="74" spans="1:10" ht="12">
      <c r="A74" s="260">
        <v>732100</v>
      </c>
      <c r="B74" s="260"/>
      <c r="C74" s="260" t="s">
        <v>58</v>
      </c>
      <c r="D74" s="241">
        <f>SUM(D75:D80)</f>
        <v>2819894</v>
      </c>
      <c r="E74" s="241">
        <f t="shared" ref="E74:G74" si="28">SUM(E75:E80)</f>
        <v>246894.98</v>
      </c>
      <c r="F74" s="241">
        <f t="shared" si="28"/>
        <v>476643</v>
      </c>
      <c r="G74" s="241">
        <f t="shared" si="28"/>
        <v>3581875</v>
      </c>
      <c r="H74" s="241">
        <f t="shared" si="18"/>
        <v>127.02161854310836</v>
      </c>
      <c r="I74" s="241">
        <f t="shared" si="19"/>
        <v>751.47961891814214</v>
      </c>
      <c r="J74" s="242">
        <f t="shared" si="24"/>
        <v>0.22400674370132592</v>
      </c>
    </row>
    <row r="75" spans="1:10" ht="12">
      <c r="A75" s="253">
        <v>732111</v>
      </c>
      <c r="B75" s="82" t="s">
        <v>226</v>
      </c>
      <c r="C75" s="253" t="s">
        <v>208</v>
      </c>
      <c r="D75" s="245">
        <v>160000</v>
      </c>
      <c r="E75" s="245">
        <v>0</v>
      </c>
      <c r="F75" s="245">
        <v>0</v>
      </c>
      <c r="G75" s="245">
        <v>100000</v>
      </c>
      <c r="H75" s="245">
        <f t="shared" si="18"/>
        <v>62.5</v>
      </c>
      <c r="I75" s="241" t="e">
        <f t="shared" si="19"/>
        <v>#DIV/0!</v>
      </c>
      <c r="J75" s="246">
        <f t="shared" si="24"/>
        <v>6.253896177318469E-3</v>
      </c>
    </row>
    <row r="76" spans="1:10" ht="12">
      <c r="A76" s="263">
        <v>732112</v>
      </c>
      <c r="B76" s="82" t="s">
        <v>227</v>
      </c>
      <c r="C76" s="264" t="s">
        <v>59</v>
      </c>
      <c r="D76" s="265">
        <v>1143420</v>
      </c>
      <c r="E76" s="262">
        <v>212628.63</v>
      </c>
      <c r="F76" s="262">
        <v>400363</v>
      </c>
      <c r="G76" s="262">
        <v>1410095</v>
      </c>
      <c r="H76" s="245">
        <f t="shared" si="18"/>
        <v>123.32257613125535</v>
      </c>
      <c r="I76" s="241">
        <f t="shared" si="19"/>
        <v>352.20412475678324</v>
      </c>
      <c r="J76" s="246">
        <f t="shared" si="24"/>
        <v>8.8185877301558871E-2</v>
      </c>
    </row>
    <row r="77" spans="1:10" ht="12">
      <c r="A77" s="263">
        <v>732113</v>
      </c>
      <c r="B77" s="82" t="s">
        <v>227</v>
      </c>
      <c r="C77" s="264" t="s">
        <v>284</v>
      </c>
      <c r="D77" s="265">
        <v>30000</v>
      </c>
      <c r="E77" s="262">
        <v>0</v>
      </c>
      <c r="F77" s="262">
        <v>30000</v>
      </c>
      <c r="G77" s="262">
        <v>40000</v>
      </c>
      <c r="H77" s="245">
        <f t="shared" ref="H77" si="29">G77/D77*100</f>
        <v>133.33333333333331</v>
      </c>
      <c r="I77" s="241">
        <f t="shared" si="19"/>
        <v>133.33333333333331</v>
      </c>
      <c r="J77" s="246">
        <f t="shared" si="24"/>
        <v>2.5015584709273879E-3</v>
      </c>
    </row>
    <row r="78" spans="1:10" ht="12">
      <c r="A78" s="243">
        <v>732114</v>
      </c>
      <c r="B78" s="82" t="s">
        <v>228</v>
      </c>
      <c r="C78" s="244" t="s">
        <v>60</v>
      </c>
      <c r="D78" s="262">
        <v>1306474</v>
      </c>
      <c r="E78" s="262">
        <v>34266.35</v>
      </c>
      <c r="F78" s="262">
        <v>46280</v>
      </c>
      <c r="G78" s="262">
        <v>1539780</v>
      </c>
      <c r="H78" s="245">
        <f t="shared" si="18"/>
        <v>117.85768411770918</v>
      </c>
      <c r="I78" s="241">
        <f t="shared" si="19"/>
        <v>3327.0959377700947</v>
      </c>
      <c r="J78" s="246">
        <f t="shared" si="24"/>
        <v>9.6296242559114328E-2</v>
      </c>
    </row>
    <row r="79" spans="1:10" ht="12">
      <c r="A79" s="243">
        <v>732117</v>
      </c>
      <c r="B79" s="82" t="s">
        <v>228</v>
      </c>
      <c r="C79" s="244" t="s">
        <v>285</v>
      </c>
      <c r="D79" s="262">
        <v>135000</v>
      </c>
      <c r="E79" s="262">
        <v>0</v>
      </c>
      <c r="F79" s="262">
        <v>0</v>
      </c>
      <c r="G79" s="262">
        <v>420000</v>
      </c>
      <c r="H79" s="245">
        <f t="shared" ref="H79:H80" si="30">G79/D79*100</f>
        <v>311.11111111111114</v>
      </c>
      <c r="I79" s="241" t="e">
        <f t="shared" si="19"/>
        <v>#DIV/0!</v>
      </c>
      <c r="J79" s="246">
        <f t="shared" si="24"/>
        <v>2.626636394473757E-2</v>
      </c>
    </row>
    <row r="80" spans="1:10" ht="12">
      <c r="A80" s="243">
        <v>732118</v>
      </c>
      <c r="B80" s="82" t="s">
        <v>228</v>
      </c>
      <c r="C80" s="244" t="s">
        <v>286</v>
      </c>
      <c r="D80" s="262">
        <v>45000</v>
      </c>
      <c r="E80" s="262">
        <v>0</v>
      </c>
      <c r="F80" s="262">
        <v>0</v>
      </c>
      <c r="G80" s="262">
        <v>72000</v>
      </c>
      <c r="H80" s="245">
        <f t="shared" si="30"/>
        <v>160</v>
      </c>
      <c r="I80" s="241" t="e">
        <f t="shared" si="19"/>
        <v>#DIV/0!</v>
      </c>
      <c r="J80" s="246">
        <f t="shared" si="24"/>
        <v>4.5028052476692977E-3</v>
      </c>
    </row>
    <row r="81" spans="1:10" ht="12">
      <c r="A81" s="239">
        <v>740000</v>
      </c>
      <c r="B81" s="244"/>
      <c r="C81" s="240" t="s">
        <v>191</v>
      </c>
      <c r="D81" s="268">
        <f>D82+D84</f>
        <v>1436000</v>
      </c>
      <c r="E81" s="268">
        <f>E82+E84</f>
        <v>352425.18</v>
      </c>
      <c r="F81" s="268">
        <f>F82+F84</f>
        <v>707074.09000000008</v>
      </c>
      <c r="G81" s="268">
        <f>G82+G84</f>
        <v>1750000</v>
      </c>
      <c r="H81" s="241">
        <f t="shared" si="18"/>
        <v>121.86629526462396</v>
      </c>
      <c r="I81" s="241">
        <f t="shared" si="19"/>
        <v>247.49881585959398</v>
      </c>
      <c r="J81" s="242">
        <f t="shared" si="24"/>
        <v>0.10944318310307322</v>
      </c>
    </row>
    <row r="82" spans="1:10" ht="12">
      <c r="A82" s="239">
        <v>741100</v>
      </c>
      <c r="B82" s="244"/>
      <c r="C82" s="240" t="s">
        <v>211</v>
      </c>
      <c r="D82" s="268">
        <f>SUM(D83)</f>
        <v>0</v>
      </c>
      <c r="E82" s="268">
        <f>SUM(E83)</f>
        <v>0</v>
      </c>
      <c r="F82" s="268">
        <f>SUM(F83)</f>
        <v>0</v>
      </c>
      <c r="G82" s="268">
        <f>SUM(G83)</f>
        <v>0</v>
      </c>
      <c r="H82" s="241" t="e">
        <f t="shared" si="18"/>
        <v>#DIV/0!</v>
      </c>
      <c r="I82" s="241" t="e">
        <f t="shared" si="19"/>
        <v>#DIV/0!</v>
      </c>
      <c r="J82" s="242">
        <f t="shared" si="24"/>
        <v>0</v>
      </c>
    </row>
    <row r="83" spans="1:10" ht="12">
      <c r="A83" s="271">
        <v>741121</v>
      </c>
      <c r="B83" s="82" t="s">
        <v>229</v>
      </c>
      <c r="C83" s="272" t="s">
        <v>211</v>
      </c>
      <c r="D83" s="262">
        <v>0</v>
      </c>
      <c r="E83" s="262">
        <v>0</v>
      </c>
      <c r="F83" s="262">
        <v>0</v>
      </c>
      <c r="G83" s="262">
        <v>0</v>
      </c>
      <c r="H83" s="245" t="e">
        <f t="shared" si="18"/>
        <v>#DIV/0!</v>
      </c>
      <c r="I83" s="241" t="e">
        <f t="shared" si="19"/>
        <v>#DIV/0!</v>
      </c>
      <c r="J83" s="246">
        <f t="shared" si="24"/>
        <v>0</v>
      </c>
    </row>
    <row r="84" spans="1:10" ht="12">
      <c r="A84" s="239">
        <v>742100</v>
      </c>
      <c r="B84" s="244"/>
      <c r="C84" s="240" t="s">
        <v>61</v>
      </c>
      <c r="D84" s="268">
        <f>SUM(D85:D86)</f>
        <v>1436000</v>
      </c>
      <c r="E84" s="268">
        <f t="shared" ref="E84:G84" si="31">SUM(E85:E86)</f>
        <v>352425.18</v>
      </c>
      <c r="F84" s="268">
        <f t="shared" si="31"/>
        <v>707074.09000000008</v>
      </c>
      <c r="G84" s="268">
        <f t="shared" si="31"/>
        <v>1750000</v>
      </c>
      <c r="H84" s="241">
        <f t="shared" si="18"/>
        <v>121.86629526462396</v>
      </c>
      <c r="I84" s="241">
        <f t="shared" si="19"/>
        <v>247.49881585959398</v>
      </c>
      <c r="J84" s="242">
        <f t="shared" si="24"/>
        <v>0.10944318310307322</v>
      </c>
    </row>
    <row r="85" spans="1:10" ht="12">
      <c r="A85" s="243">
        <v>742112</v>
      </c>
      <c r="B85" s="82" t="s">
        <v>227</v>
      </c>
      <c r="C85" s="244" t="s">
        <v>62</v>
      </c>
      <c r="D85" s="262">
        <v>700000</v>
      </c>
      <c r="E85" s="262">
        <v>252425.18</v>
      </c>
      <c r="F85" s="262">
        <v>457074.09</v>
      </c>
      <c r="G85" s="262">
        <v>950000</v>
      </c>
      <c r="H85" s="245">
        <f t="shared" si="18"/>
        <v>135.71428571428572</v>
      </c>
      <c r="I85" s="241">
        <f t="shared" si="19"/>
        <v>207.84376554794432</v>
      </c>
      <c r="J85" s="246">
        <f t="shared" si="24"/>
        <v>5.9412013684525457E-2</v>
      </c>
    </row>
    <row r="86" spans="1:10" ht="12">
      <c r="A86" s="243">
        <v>742114</v>
      </c>
      <c r="B86" s="82" t="s">
        <v>228</v>
      </c>
      <c r="C86" s="244" t="s">
        <v>63</v>
      </c>
      <c r="D86" s="262">
        <v>736000</v>
      </c>
      <c r="E86" s="262">
        <v>100000</v>
      </c>
      <c r="F86" s="262">
        <v>250000</v>
      </c>
      <c r="G86" s="262">
        <v>800000</v>
      </c>
      <c r="H86" s="245">
        <f t="shared" si="18"/>
        <v>108.69565217391303</v>
      </c>
      <c r="I86" s="241">
        <f t="shared" si="19"/>
        <v>320</v>
      </c>
      <c r="J86" s="246">
        <f t="shared" si="24"/>
        <v>5.0031169418547752E-2</v>
      </c>
    </row>
    <row r="87" spans="1:10" ht="12">
      <c r="A87" s="239"/>
      <c r="B87" s="244"/>
      <c r="C87" s="240" t="s">
        <v>234</v>
      </c>
      <c r="D87" s="241">
        <f>D6+D37+D71+D81</f>
        <v>14146092</v>
      </c>
      <c r="E87" s="241">
        <f>E6+E37+E71+E81</f>
        <v>7972470.8300000001</v>
      </c>
      <c r="F87" s="241">
        <f>F6+F37+F71+F81</f>
        <v>10812176.09</v>
      </c>
      <c r="G87" s="241">
        <f>G6+G37+G71+G81</f>
        <v>15417032</v>
      </c>
      <c r="H87" s="241">
        <f t="shared" si="18"/>
        <v>108.98438946954397</v>
      </c>
      <c r="I87" s="241">
        <f t="shared" si="19"/>
        <v>142.58953860600693</v>
      </c>
      <c r="J87" s="242">
        <f t="shared" si="24"/>
        <v>0.96416517490396514</v>
      </c>
    </row>
    <row r="88" spans="1:10" ht="12">
      <c r="A88" s="239">
        <v>810000</v>
      </c>
      <c r="B88" s="244"/>
      <c r="C88" s="240" t="s">
        <v>64</v>
      </c>
      <c r="D88" s="241">
        <f>D89+D93+D96</f>
        <v>510000</v>
      </c>
      <c r="E88" s="241">
        <f>E89+E93+E96</f>
        <v>503919.1</v>
      </c>
      <c r="F88" s="241">
        <f>F89+F93+F96</f>
        <v>514000</v>
      </c>
      <c r="G88" s="241">
        <f>G89+G93+G96</f>
        <v>573000</v>
      </c>
      <c r="H88" s="241">
        <f t="shared" si="18"/>
        <v>112.35294117647059</v>
      </c>
      <c r="I88" s="241">
        <f t="shared" si="19"/>
        <v>111.47859922178989</v>
      </c>
      <c r="J88" s="242">
        <f t="shared" si="24"/>
        <v>3.5834825096034827E-2</v>
      </c>
    </row>
    <row r="89" spans="1:10" ht="12">
      <c r="A89" s="239">
        <v>811000</v>
      </c>
      <c r="B89" s="244"/>
      <c r="C89" s="240" t="s">
        <v>199</v>
      </c>
      <c r="D89" s="241">
        <f t="shared" ref="D89:G89" si="32">D90</f>
        <v>510000</v>
      </c>
      <c r="E89" s="241">
        <f t="shared" si="32"/>
        <v>503919.1</v>
      </c>
      <c r="F89" s="241">
        <f t="shared" si="32"/>
        <v>514000</v>
      </c>
      <c r="G89" s="241">
        <f t="shared" si="32"/>
        <v>573000</v>
      </c>
      <c r="H89" s="241">
        <f t="shared" si="18"/>
        <v>112.35294117647059</v>
      </c>
      <c r="I89" s="241">
        <f t="shared" si="19"/>
        <v>111.47859922178989</v>
      </c>
      <c r="J89" s="242">
        <f t="shared" si="24"/>
        <v>3.5834825096034827E-2</v>
      </c>
    </row>
    <row r="90" spans="1:10" ht="12">
      <c r="A90" s="239">
        <v>811100</v>
      </c>
      <c r="B90" s="244"/>
      <c r="C90" s="240" t="s">
        <v>65</v>
      </c>
      <c r="D90" s="241">
        <f>SUM(D91:D92)</f>
        <v>510000</v>
      </c>
      <c r="E90" s="241">
        <f>SUM(E91:E92)</f>
        <v>503919.1</v>
      </c>
      <c r="F90" s="241">
        <f>SUM(F91:F92)</f>
        <v>514000</v>
      </c>
      <c r="G90" s="241">
        <f>SUM(G91:G92)</f>
        <v>573000</v>
      </c>
      <c r="H90" s="241">
        <f t="shared" si="18"/>
        <v>112.35294117647059</v>
      </c>
      <c r="I90" s="241">
        <f t="shared" si="19"/>
        <v>111.47859922178989</v>
      </c>
      <c r="J90" s="242">
        <f t="shared" si="24"/>
        <v>3.5834825096034827E-2</v>
      </c>
    </row>
    <row r="91" spans="1:10" ht="12">
      <c r="A91" s="243">
        <v>811111</v>
      </c>
      <c r="B91" s="82" t="s">
        <v>230</v>
      </c>
      <c r="C91" s="244" t="s">
        <v>66</v>
      </c>
      <c r="D91" s="262">
        <v>510000</v>
      </c>
      <c r="E91" s="262">
        <v>503919.1</v>
      </c>
      <c r="F91" s="262">
        <v>514000</v>
      </c>
      <c r="G91" s="262">
        <v>573000</v>
      </c>
      <c r="H91" s="245">
        <f t="shared" si="18"/>
        <v>112.35294117647059</v>
      </c>
      <c r="I91" s="241">
        <f t="shared" si="19"/>
        <v>111.47859922178989</v>
      </c>
      <c r="J91" s="246">
        <f t="shared" si="24"/>
        <v>3.5834825096034827E-2</v>
      </c>
    </row>
    <row r="92" spans="1:10" ht="12">
      <c r="A92" s="271">
        <v>811116</v>
      </c>
      <c r="B92" s="82" t="s">
        <v>130</v>
      </c>
      <c r="C92" s="272" t="s">
        <v>204</v>
      </c>
      <c r="D92" s="262">
        <v>0</v>
      </c>
      <c r="E92" s="262">
        <v>0</v>
      </c>
      <c r="F92" s="262">
        <v>0</v>
      </c>
      <c r="G92" s="262">
        <v>0</v>
      </c>
      <c r="H92" s="245" t="e">
        <f t="shared" si="18"/>
        <v>#DIV/0!</v>
      </c>
      <c r="I92" s="241" t="e">
        <f t="shared" si="19"/>
        <v>#DIV/0!</v>
      </c>
      <c r="J92" s="246">
        <f t="shared" si="24"/>
        <v>0</v>
      </c>
    </row>
    <row r="93" spans="1:10" s="38" customFormat="1" ht="12">
      <c r="A93" s="249">
        <v>813000</v>
      </c>
      <c r="B93" s="272"/>
      <c r="C93" s="250" t="s">
        <v>197</v>
      </c>
      <c r="D93" s="268">
        <f>D94</f>
        <v>0</v>
      </c>
      <c r="E93" s="268">
        <f t="shared" ref="E93:G93" si="33">E94</f>
        <v>0</v>
      </c>
      <c r="F93" s="268">
        <f t="shared" si="33"/>
        <v>0</v>
      </c>
      <c r="G93" s="268">
        <f t="shared" si="33"/>
        <v>0</v>
      </c>
      <c r="H93" s="241" t="e">
        <f t="shared" si="18"/>
        <v>#DIV/0!</v>
      </c>
      <c r="I93" s="241" t="e">
        <f t="shared" si="19"/>
        <v>#DIV/0!</v>
      </c>
      <c r="J93" s="242">
        <f t="shared" si="24"/>
        <v>0</v>
      </c>
    </row>
    <row r="94" spans="1:10" ht="12">
      <c r="A94" s="249">
        <v>813200</v>
      </c>
      <c r="B94" s="272"/>
      <c r="C94" s="250" t="s">
        <v>67</v>
      </c>
      <c r="D94" s="268">
        <f>SUM(D95)</f>
        <v>0</v>
      </c>
      <c r="E94" s="268">
        <f t="shared" ref="E94:G94" si="34">SUM(E95)</f>
        <v>0</v>
      </c>
      <c r="F94" s="268">
        <f t="shared" si="34"/>
        <v>0</v>
      </c>
      <c r="G94" s="268">
        <f t="shared" si="34"/>
        <v>0</v>
      </c>
      <c r="H94" s="241" t="e">
        <f t="shared" si="18"/>
        <v>#DIV/0!</v>
      </c>
      <c r="I94" s="241" t="e">
        <f t="shared" si="19"/>
        <v>#DIV/0!</v>
      </c>
      <c r="J94" s="242">
        <f t="shared" si="24"/>
        <v>0</v>
      </c>
    </row>
    <row r="95" spans="1:10" ht="12">
      <c r="A95" s="253">
        <v>813211</v>
      </c>
      <c r="B95" s="82" t="s">
        <v>215</v>
      </c>
      <c r="C95" s="253" t="s">
        <v>68</v>
      </c>
      <c r="D95" s="262">
        <v>0</v>
      </c>
      <c r="E95" s="262">
        <v>0</v>
      </c>
      <c r="F95" s="262">
        <v>0</v>
      </c>
      <c r="G95" s="262">
        <v>0</v>
      </c>
      <c r="H95" s="245" t="e">
        <f t="shared" si="18"/>
        <v>#DIV/0!</v>
      </c>
      <c r="I95" s="241" t="e">
        <f t="shared" si="19"/>
        <v>#DIV/0!</v>
      </c>
      <c r="J95" s="246">
        <f t="shared" si="24"/>
        <v>0</v>
      </c>
    </row>
    <row r="96" spans="1:10" s="38" customFormat="1" ht="12">
      <c r="A96" s="260">
        <v>814000</v>
      </c>
      <c r="B96" s="253"/>
      <c r="C96" s="229" t="s">
        <v>198</v>
      </c>
      <c r="D96" s="268">
        <f>D97</f>
        <v>0</v>
      </c>
      <c r="E96" s="268">
        <f t="shared" ref="E96:G96" si="35">E97</f>
        <v>0</v>
      </c>
      <c r="F96" s="268">
        <f t="shared" si="35"/>
        <v>0</v>
      </c>
      <c r="G96" s="268">
        <f t="shared" si="35"/>
        <v>0</v>
      </c>
      <c r="H96" s="241" t="e">
        <f t="shared" si="18"/>
        <v>#DIV/0!</v>
      </c>
      <c r="I96" s="241" t="e">
        <f t="shared" si="19"/>
        <v>#DIV/0!</v>
      </c>
      <c r="J96" s="246">
        <f t="shared" si="24"/>
        <v>0</v>
      </c>
    </row>
    <row r="97" spans="1:10" s="38" customFormat="1" ht="12">
      <c r="A97" s="273">
        <v>814300</v>
      </c>
      <c r="B97" s="264"/>
      <c r="C97" s="240" t="s">
        <v>193</v>
      </c>
      <c r="D97" s="268">
        <f>SUM(D98)</f>
        <v>0</v>
      </c>
      <c r="E97" s="268">
        <f>SUM(E98)</f>
        <v>0</v>
      </c>
      <c r="F97" s="268">
        <f>SUM(F98)</f>
        <v>0</v>
      </c>
      <c r="G97" s="268">
        <f>SUM(G98)</f>
        <v>0</v>
      </c>
      <c r="H97" s="241" t="e">
        <f t="shared" si="18"/>
        <v>#DIV/0!</v>
      </c>
      <c r="I97" s="241" t="e">
        <f t="shared" si="19"/>
        <v>#DIV/0!</v>
      </c>
      <c r="J97" s="242">
        <f t="shared" si="24"/>
        <v>0</v>
      </c>
    </row>
    <row r="98" spans="1:10" ht="12">
      <c r="A98" s="243">
        <v>814331</v>
      </c>
      <c r="B98" s="82" t="s">
        <v>231</v>
      </c>
      <c r="C98" s="244" t="s">
        <v>194</v>
      </c>
      <c r="D98" s="262">
        <v>0</v>
      </c>
      <c r="E98" s="262">
        <v>0</v>
      </c>
      <c r="F98" s="262">
        <v>0</v>
      </c>
      <c r="G98" s="262">
        <v>0</v>
      </c>
      <c r="H98" s="245" t="e">
        <f t="shared" si="18"/>
        <v>#DIV/0!</v>
      </c>
      <c r="I98" s="241" t="e">
        <f t="shared" si="19"/>
        <v>#DIV/0!</v>
      </c>
      <c r="J98" s="246">
        <f t="shared" si="24"/>
        <v>0</v>
      </c>
    </row>
    <row r="99" spans="1:10" ht="12">
      <c r="A99" s="273"/>
      <c r="B99" s="274"/>
      <c r="C99" s="274" t="s">
        <v>69</v>
      </c>
      <c r="D99" s="241">
        <f>D87+D88</f>
        <v>14656092</v>
      </c>
      <c r="E99" s="241">
        <f t="shared" ref="E99:G99" si="36">E87+E88</f>
        <v>8476389.9299999997</v>
      </c>
      <c r="F99" s="241">
        <f t="shared" si="36"/>
        <v>11326176.09</v>
      </c>
      <c r="G99" s="241">
        <f t="shared" si="36"/>
        <v>15990032</v>
      </c>
      <c r="H99" s="241">
        <f t="shared" si="18"/>
        <v>109.10160771370703</v>
      </c>
      <c r="I99" s="241">
        <f t="shared" si="19"/>
        <v>141.17767437959725</v>
      </c>
      <c r="J99" s="242">
        <f t="shared" si="24"/>
        <v>1</v>
      </c>
    </row>
    <row r="100" spans="1:10">
      <c r="A100" s="1"/>
      <c r="B100" s="1"/>
      <c r="C100" s="1"/>
      <c r="D100" s="2"/>
      <c r="E100" s="2"/>
      <c r="F100" s="2"/>
      <c r="G100" s="2"/>
      <c r="H100" s="2"/>
      <c r="I100" s="2"/>
      <c r="J100" s="3"/>
    </row>
    <row r="101" spans="1:10">
      <c r="A101" s="1"/>
      <c r="B101" s="1"/>
      <c r="C101" s="1"/>
      <c r="D101" s="2"/>
      <c r="E101" s="2"/>
      <c r="F101" s="2"/>
      <c r="G101" s="2"/>
      <c r="H101" s="2"/>
      <c r="I101" s="2"/>
      <c r="J101" s="3"/>
    </row>
    <row r="102" spans="1:10">
      <c r="A102" s="1"/>
      <c r="B102" s="1"/>
      <c r="C102" s="1"/>
      <c r="D102" s="2"/>
      <c r="E102" s="2"/>
      <c r="F102" s="2"/>
      <c r="G102" s="2"/>
      <c r="H102" s="2"/>
      <c r="I102" s="2"/>
      <c r="J102" s="3"/>
    </row>
    <row r="103" spans="1:10">
      <c r="A103" s="1"/>
      <c r="B103" s="1"/>
      <c r="C103" s="1"/>
      <c r="D103" s="2"/>
      <c r="E103" s="2"/>
      <c r="F103" s="2"/>
      <c r="G103" s="2"/>
      <c r="H103" s="2"/>
      <c r="I103" s="2"/>
      <c r="J103" s="3"/>
    </row>
    <row r="104" spans="1:10">
      <c r="A104" s="1"/>
      <c r="B104" s="1"/>
      <c r="C104" s="1"/>
      <c r="D104" s="2"/>
      <c r="E104" s="2"/>
      <c r="F104" s="2"/>
      <c r="G104" s="2"/>
      <c r="H104" s="2"/>
      <c r="I104" s="2"/>
      <c r="J104" s="3"/>
    </row>
    <row r="105" spans="1:10">
      <c r="A105" s="1"/>
      <c r="B105" s="1"/>
      <c r="C105" s="1"/>
      <c r="D105" s="2"/>
      <c r="E105" s="2"/>
      <c r="F105" s="2"/>
      <c r="G105" s="2"/>
      <c r="H105" s="2"/>
      <c r="I105" s="2"/>
      <c r="J105" s="3"/>
    </row>
    <row r="106" spans="1:10">
      <c r="A106" s="1"/>
      <c r="B106" s="1"/>
      <c r="C106" s="1"/>
      <c r="D106" s="2"/>
      <c r="E106" s="2"/>
      <c r="F106" s="2"/>
      <c r="G106" s="2"/>
      <c r="H106" s="2"/>
      <c r="I106" s="2"/>
      <c r="J106" s="3"/>
    </row>
    <row r="107" spans="1:10">
      <c r="A107" s="1"/>
      <c r="B107" s="1"/>
      <c r="C107" s="1"/>
      <c r="D107" s="2"/>
      <c r="E107" s="2"/>
      <c r="F107" s="2"/>
      <c r="G107" s="2"/>
      <c r="H107" s="2"/>
      <c r="I107" s="2"/>
      <c r="J107" s="3"/>
    </row>
    <row r="108" spans="1:10">
      <c r="A108" s="1"/>
      <c r="B108" s="1"/>
      <c r="C108" s="1"/>
      <c r="D108" s="2"/>
      <c r="E108" s="2"/>
      <c r="F108" s="2"/>
      <c r="G108" s="2"/>
      <c r="H108" s="2"/>
      <c r="I108" s="2"/>
      <c r="J108" s="3"/>
    </row>
    <row r="109" spans="1:10">
      <c r="A109" s="1"/>
      <c r="B109" s="1"/>
      <c r="C109" s="1"/>
      <c r="D109" s="2"/>
      <c r="E109" s="2"/>
      <c r="F109" s="2"/>
      <c r="G109" s="2"/>
      <c r="H109" s="2"/>
      <c r="I109" s="2"/>
      <c r="J109" s="3"/>
    </row>
    <row r="110" spans="1:10">
      <c r="A110" s="1"/>
      <c r="B110" s="1"/>
      <c r="C110" s="1"/>
      <c r="D110" s="2"/>
      <c r="E110" s="2"/>
      <c r="F110" s="2"/>
      <c r="G110" s="2"/>
      <c r="H110" s="2"/>
      <c r="I110" s="2"/>
      <c r="J110" s="3"/>
    </row>
    <row r="111" spans="1:10">
      <c r="A111" s="1"/>
      <c r="B111" s="1"/>
      <c r="C111" s="1"/>
      <c r="D111" s="2"/>
      <c r="E111" s="2"/>
      <c r="F111" s="2"/>
      <c r="G111" s="2"/>
      <c r="H111" s="2"/>
      <c r="I111" s="2"/>
      <c r="J111" s="3"/>
    </row>
  </sheetData>
  <mergeCells count="2">
    <mergeCell ref="A1:J1"/>
    <mergeCell ref="A2:J2"/>
  </mergeCells>
  <pageMargins left="0.43307086614173229" right="0.43307086614173229" top="7.874015748031496E-2" bottom="0.74803149606299213" header="0.31496062992125984" footer="0.31496062992125984"/>
  <pageSetup paperSize="9" firstPageNumber="2" orientation="landscape" useFirstPageNumber="1" r:id="rId1"/>
  <headerFooter>
    <oddHeader>&amp;C&amp;"Arial,Regular"&amp;9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topLeftCell="A28" workbookViewId="0">
      <selection activeCell="G30" sqref="G30"/>
    </sheetView>
  </sheetViews>
  <sheetFormatPr defaultColWidth="9.109375" defaultRowHeight="10.199999999999999"/>
  <cols>
    <col min="1" max="1" width="7.6640625" style="4" customWidth="1"/>
    <col min="2" max="2" width="6.109375" style="4" customWidth="1"/>
    <col min="3" max="3" width="49.44140625" style="4" customWidth="1"/>
    <col min="4" max="4" width="12.44140625" style="4" customWidth="1"/>
    <col min="5" max="5" width="11.33203125" style="4" bestFit="1" customWidth="1"/>
    <col min="6" max="6" width="12.109375" style="4" customWidth="1"/>
    <col min="7" max="7" width="12.33203125" style="4" customWidth="1"/>
    <col min="8" max="9" width="7.33203125" style="4" customWidth="1"/>
    <col min="10" max="10" width="7.5546875" style="4" customWidth="1"/>
    <col min="11" max="16384" width="9.109375" style="4"/>
  </cols>
  <sheetData>
    <row r="1" spans="1:12" ht="11.4">
      <c r="A1" s="354" t="s">
        <v>560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2" ht="11.4">
      <c r="A2" s="382" t="s">
        <v>567</v>
      </c>
      <c r="B2" s="382"/>
      <c r="C2" s="382"/>
      <c r="D2" s="382"/>
      <c r="E2" s="382"/>
      <c r="F2" s="382"/>
      <c r="G2" s="382"/>
      <c r="H2" s="382"/>
      <c r="I2" s="382"/>
      <c r="J2" s="382"/>
    </row>
    <row r="3" spans="1:12" ht="11.4">
      <c r="A3" s="382" t="s">
        <v>568</v>
      </c>
      <c r="B3" s="382"/>
      <c r="C3" s="382"/>
      <c r="D3" s="382"/>
      <c r="E3" s="382"/>
      <c r="F3" s="382"/>
      <c r="G3" s="382"/>
      <c r="H3" s="382"/>
      <c r="I3" s="382"/>
      <c r="J3" s="382"/>
    </row>
    <row r="4" spans="1:12" ht="11.4">
      <c r="A4" s="382" t="s">
        <v>569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2" ht="11.4">
      <c r="A5" s="383" t="s">
        <v>570</v>
      </c>
      <c r="B5" s="383"/>
      <c r="C5" s="383"/>
      <c r="D5" s="383"/>
      <c r="E5" s="383"/>
      <c r="F5" s="383"/>
      <c r="G5" s="383"/>
      <c r="H5" s="383"/>
      <c r="I5" s="383"/>
      <c r="J5" s="383"/>
    </row>
    <row r="7" spans="1:12" ht="12">
      <c r="A7" s="207" t="s">
        <v>210</v>
      </c>
      <c r="B7" s="175"/>
      <c r="C7" s="207"/>
      <c r="D7" s="175"/>
      <c r="E7" s="175"/>
      <c r="F7" s="307"/>
      <c r="G7" s="175"/>
      <c r="H7" s="175"/>
      <c r="I7" s="175"/>
      <c r="J7" s="208" t="s">
        <v>0</v>
      </c>
      <c r="K7" s="209"/>
      <c r="L7" s="7"/>
    </row>
    <row r="8" spans="1:12" s="37" customFormat="1" ht="36">
      <c r="A8" s="210" t="s">
        <v>70</v>
      </c>
      <c r="B8" s="211" t="s">
        <v>213</v>
      </c>
      <c r="C8" s="212" t="s">
        <v>205</v>
      </c>
      <c r="D8" s="62" t="s">
        <v>447</v>
      </c>
      <c r="E8" s="63" t="s">
        <v>523</v>
      </c>
      <c r="F8" s="157" t="s">
        <v>549</v>
      </c>
      <c r="G8" s="62" t="s">
        <v>448</v>
      </c>
      <c r="H8" s="64" t="s">
        <v>551</v>
      </c>
      <c r="I8" s="64" t="s">
        <v>552</v>
      </c>
      <c r="J8" s="62" t="s">
        <v>3</v>
      </c>
      <c r="K8" s="213"/>
      <c r="L8" s="8"/>
    </row>
    <row r="9" spans="1:12" ht="11.4">
      <c r="A9" s="214">
        <v>1</v>
      </c>
      <c r="B9" s="215">
        <v>2</v>
      </c>
      <c r="C9" s="215">
        <v>3</v>
      </c>
      <c r="D9" s="216">
        <v>4</v>
      </c>
      <c r="E9" s="217">
        <v>5</v>
      </c>
      <c r="F9" s="217">
        <v>6</v>
      </c>
      <c r="G9" s="218">
        <v>7</v>
      </c>
      <c r="H9" s="218">
        <v>8</v>
      </c>
      <c r="I9" s="218"/>
      <c r="J9" s="218">
        <v>9</v>
      </c>
      <c r="K9" s="219"/>
      <c r="L9" s="9"/>
    </row>
    <row r="10" spans="1:12" ht="12">
      <c r="A10" s="220">
        <v>610000</v>
      </c>
      <c r="B10" s="221"/>
      <c r="C10" s="220" t="s">
        <v>71</v>
      </c>
      <c r="D10" s="222">
        <f>D12+D17+D21+D33+D42</f>
        <v>11814960</v>
      </c>
      <c r="E10" s="222">
        <f t="shared" ref="E10:G10" si="0">E12+E17+E21+E33+E42</f>
        <v>5535302.4699999997</v>
      </c>
      <c r="F10" s="222">
        <f t="shared" si="0"/>
        <v>9006421.0899999999</v>
      </c>
      <c r="G10" s="222">
        <f t="shared" si="0"/>
        <v>13444976</v>
      </c>
      <c r="H10" s="222">
        <f>G10/D10*100</f>
        <v>113.79620413441943</v>
      </c>
      <c r="I10" s="222">
        <f>G10/F10*100</f>
        <v>149.28211623291978</v>
      </c>
      <c r="J10" s="223">
        <f>G10/G$62</f>
        <v>0.84083484010538567</v>
      </c>
      <c r="K10" s="224"/>
      <c r="L10" s="10"/>
    </row>
    <row r="11" spans="1:12" ht="12">
      <c r="A11" s="220"/>
      <c r="B11" s="221"/>
      <c r="C11" s="220"/>
      <c r="D11" s="222"/>
      <c r="E11" s="222"/>
      <c r="F11" s="222"/>
      <c r="G11" s="222"/>
      <c r="H11" s="222"/>
      <c r="I11" s="222"/>
      <c r="J11" s="223"/>
      <c r="K11" s="224"/>
      <c r="L11" s="10"/>
    </row>
    <row r="12" spans="1:12" ht="12">
      <c r="A12" s="220">
        <v>611000</v>
      </c>
      <c r="B12" s="221"/>
      <c r="C12" s="220" t="s">
        <v>72</v>
      </c>
      <c r="D12" s="222">
        <f>D14+D15</f>
        <v>3605401</v>
      </c>
      <c r="E12" s="222">
        <f t="shared" ref="E12:G12" si="1">E14+E15</f>
        <v>2366787.6999999997</v>
      </c>
      <c r="F12" s="222">
        <f t="shared" si="1"/>
        <v>3189521.46</v>
      </c>
      <c r="G12" s="222">
        <f t="shared" si="1"/>
        <v>3934360</v>
      </c>
      <c r="H12" s="222">
        <f t="shared" ref="H12:H29" si="2">G12/D12*100</f>
        <v>109.1240613734783</v>
      </c>
      <c r="I12" s="222">
        <f t="shared" ref="I12:I62" si="3">G12/F12*100</f>
        <v>123.35267372679787</v>
      </c>
      <c r="J12" s="223">
        <f>G12/G$62</f>
        <v>0.24605078964194693</v>
      </c>
      <c r="K12" s="224"/>
      <c r="L12" s="10"/>
    </row>
    <row r="13" spans="1:12" ht="5.25" customHeight="1">
      <c r="A13" s="220"/>
      <c r="B13" s="221"/>
      <c r="C13" s="220"/>
      <c r="D13" s="222"/>
      <c r="E13" s="222"/>
      <c r="F13" s="222"/>
      <c r="G13" s="222"/>
      <c r="H13" s="222"/>
      <c r="I13" s="222"/>
      <c r="J13" s="223"/>
      <c r="K13" s="224"/>
      <c r="L13" s="10"/>
    </row>
    <row r="14" spans="1:12" ht="12">
      <c r="A14" s="76">
        <v>611100</v>
      </c>
      <c r="B14" s="82" t="s">
        <v>215</v>
      </c>
      <c r="C14" s="76" t="s">
        <v>73</v>
      </c>
      <c r="D14" s="225">
        <f>'Tab C'!H12+'Tab C'!H14+'Tab C'!H40+'Tab C'!H42+'Tab C'!H174+'Tab C'!H176+'Tab C'!H230+'Tab C'!H232+'Tab C'!H257+'Tab C'!H259+'Tab C'!H302+'Tab C'!H304+'Tab C'!H375+'Tab C'!H377</f>
        <v>2979097</v>
      </c>
      <c r="E14" s="225">
        <f>'Tab C'!I12+'Tab C'!I14+'Tab C'!I40+'Tab C'!I42+'Tab C'!I174+'Tab C'!I176+'Tab C'!I230+'Tab C'!I232+'Tab C'!I257+'Tab C'!I259+'Tab C'!I302+'Tab C'!I304+'Tab C'!I375+'Tab C'!I377</f>
        <v>2009477.0699999998</v>
      </c>
      <c r="F14" s="225">
        <f>'Tab C'!J12+'Tab C'!J14+'Tab C'!J40+'Tab C'!J42+'Tab C'!J174+'Tab C'!J176+'Tab C'!J230+'Tab C'!J232+'Tab C'!J257+'Tab C'!J259+'Tab C'!J302+'Tab C'!J304+'Tab C'!J375+'Tab C'!J377</f>
        <v>2712506</v>
      </c>
      <c r="G14" s="225">
        <f>'Tab C'!K11+'Tab C'!K13+'Tab C'!K39+'Tab C'!K41+'Tab C'!K173+'Tab C'!K175+'Tab C'!K229+'Tab C'!K231+'Tab C'!K256+'Tab C'!K258+'Tab C'!K301+'Tab C'!K303+'Tab C'!K374+'Tab C'!K376</f>
        <v>3314090</v>
      </c>
      <c r="H14" s="225">
        <f t="shared" si="2"/>
        <v>111.24478323465129</v>
      </c>
      <c r="I14" s="222">
        <f t="shared" si="3"/>
        <v>122.17816292387924</v>
      </c>
      <c r="J14" s="226">
        <f>G14/G$62</f>
        <v>0.20725974782289366</v>
      </c>
      <c r="K14" s="219"/>
      <c r="L14" s="9"/>
    </row>
    <row r="15" spans="1:12" ht="12">
      <c r="A15" s="221">
        <v>611200</v>
      </c>
      <c r="B15" s="82" t="s">
        <v>215</v>
      </c>
      <c r="C15" s="221" t="s">
        <v>74</v>
      </c>
      <c r="D15" s="225">
        <f>'Tab C'!H15+'Tab C'!H16+'Tab C'!H17+'Tab C'!H18+'Tab C'!H19+'Tab C'!H43+'Tab C'!H44+'Tab C'!H45+'Tab C'!H46+'Tab C'!H47+'Tab C'!H48+'Tab C'!H49+'Tab C'!H50+'Tab C'!H177+'Tab C'!H178+'Tab C'!H179+'Tab C'!H180+'Tab C'!H181+'Tab C'!H182+'Tab C'!H233+'Tab C'!H234+'Tab C'!H235+'Tab C'!H236+'Tab C'!H237+'Tab C'!H260+'Tab C'!H261+'Tab C'!H262+'Tab C'!H263+'Tab C'!H264+'Tab C'!H265+'Tab C'!H305+'Tab C'!H306+'Tab C'!H307+'Tab C'!H309+'Tab C'!H378+'Tab C'!H379+'Tab C'!H380+'Tab C'!H381</f>
        <v>626304</v>
      </c>
      <c r="E15" s="225">
        <f>'Tab C'!I15+'Tab C'!I16+'Tab C'!I17+'Tab C'!I18+'Tab C'!I19+'Tab C'!I43+'Tab C'!I44+'Tab C'!I45+'Tab C'!I46+'Tab C'!I47+'Tab C'!I48+'Tab C'!I49+'Tab C'!I50+'Tab C'!I177+'Tab C'!I178+'Tab C'!I179+'Tab C'!I180+'Tab C'!I181+'Tab C'!I182+'Tab C'!I233+'Tab C'!I234+'Tab C'!I235+'Tab C'!I236+'Tab C'!I237+'Tab C'!I260+'Tab C'!I261+'Tab C'!I262+'Tab C'!I263+'Tab C'!I264+'Tab C'!I265+'Tab C'!I305+'Tab C'!I306+'Tab C'!I307+'Tab C'!I309+'Tab C'!I378+'Tab C'!I379+'Tab C'!I380+'Tab C'!I381</f>
        <v>357310.63</v>
      </c>
      <c r="F15" s="225">
        <f>'Tab C'!J15+'Tab C'!J16+'Tab C'!J17+'Tab C'!J18+'Tab C'!J19+'Tab C'!J43+'Tab C'!J44+'Tab C'!J45+'Tab C'!J46+'Tab C'!J47+'Tab C'!J48+'Tab C'!J49+'Tab C'!J50+'Tab C'!J177+'Tab C'!J178+'Tab C'!J179+'Tab C'!J180+'Tab C'!J181+'Tab C'!J182+'Tab C'!J233+'Tab C'!J234+'Tab C'!J235+'Tab C'!J236+'Tab C'!J237+'Tab C'!J260+'Tab C'!J261+'Tab C'!J262+'Tab C'!J263+'Tab C'!J264+'Tab C'!J265+'Tab C'!J305+'Tab C'!J306+'Tab C'!J307+'Tab C'!J309+'Tab C'!J378+'Tab C'!J379+'Tab C'!J380+'Tab C'!J381</f>
        <v>477015.45999999996</v>
      </c>
      <c r="G15" s="225">
        <f>'Tab C'!K15+'Tab C'!K16+'Tab C'!K17+'Tab C'!K18+'Tab C'!K19+'Tab C'!K43+'Tab C'!K44+'Tab C'!K45+'Tab C'!K46+'Tab C'!K47+'Tab C'!K48+'Tab C'!K49+'Tab C'!K50+'Tab C'!K177+'Tab C'!K178+'Tab C'!K179+'Tab C'!K180+'Tab C'!K181+'Tab C'!K182+'Tab C'!K233+'Tab C'!K234+'Tab C'!K235+'Tab C'!K236+'Tab C'!K237+'Tab C'!K260+'Tab C'!K261+'Tab C'!K262+'Tab C'!K263+'Tab C'!K264+'Tab C'!K265+'Tab C'!K305+'Tab C'!K306+'Tab C'!K307+'Tab C'!K308+'Tab C'!K309+'Tab C'!K378+'Tab C'!K379+'Tab C'!K380+'Tab C'!K381</f>
        <v>620270</v>
      </c>
      <c r="H15" s="225">
        <f t="shared" si="2"/>
        <v>99.036570100143066</v>
      </c>
      <c r="I15" s="222">
        <f t="shared" si="3"/>
        <v>130.0314249772953</v>
      </c>
      <c r="J15" s="226">
        <f>G15/G$62</f>
        <v>3.8791041819053268E-2</v>
      </c>
      <c r="K15" s="219"/>
      <c r="L15" s="9"/>
    </row>
    <row r="16" spans="1:12" ht="12">
      <c r="A16" s="221"/>
      <c r="B16" s="82"/>
      <c r="C16" s="221"/>
      <c r="D16" s="225"/>
      <c r="E16" s="225"/>
      <c r="F16" s="225"/>
      <c r="G16" s="225"/>
      <c r="H16" s="225"/>
      <c r="I16" s="222" t="e">
        <f t="shared" si="3"/>
        <v>#DIV/0!</v>
      </c>
      <c r="J16" s="226"/>
      <c r="K16" s="219"/>
      <c r="L16" s="9"/>
    </row>
    <row r="17" spans="1:12" ht="12">
      <c r="A17" s="220">
        <v>612000</v>
      </c>
      <c r="B17" s="221"/>
      <c r="C17" s="222" t="s">
        <v>76</v>
      </c>
      <c r="D17" s="222">
        <f>D19+D20</f>
        <v>339429</v>
      </c>
      <c r="E17" s="222">
        <f t="shared" ref="E17:G17" si="4">E19+E20</f>
        <v>230866.72000000003</v>
      </c>
      <c r="F17" s="222">
        <f t="shared" si="4"/>
        <v>284813</v>
      </c>
      <c r="G17" s="222">
        <f t="shared" si="4"/>
        <v>348598</v>
      </c>
      <c r="H17" s="222">
        <f t="shared" si="2"/>
        <v>102.70130130307074</v>
      </c>
      <c r="I17" s="222">
        <f t="shared" si="3"/>
        <v>122.39539627755755</v>
      </c>
      <c r="J17" s="223">
        <f>G17/G$62</f>
        <v>2.180095699620864E-2</v>
      </c>
      <c r="K17" s="224"/>
      <c r="L17" s="10"/>
    </row>
    <row r="18" spans="1:12" ht="6" customHeight="1">
      <c r="A18" s="220"/>
      <c r="B18" s="221"/>
      <c r="C18" s="222"/>
      <c r="D18" s="222"/>
      <c r="E18" s="222"/>
      <c r="F18" s="222"/>
      <c r="G18" s="222"/>
      <c r="H18" s="222"/>
      <c r="I18" s="222"/>
      <c r="J18" s="223"/>
      <c r="K18" s="224"/>
      <c r="L18" s="10"/>
    </row>
    <row r="19" spans="1:12" ht="12">
      <c r="A19" s="221">
        <v>612100</v>
      </c>
      <c r="B19" s="82" t="s">
        <v>215</v>
      </c>
      <c r="C19" s="221" t="s">
        <v>77</v>
      </c>
      <c r="D19" s="225">
        <f>'Tab C'!H21+'Tab C'!H52+'Tab C'!H184+'Tab C'!H239+'Tab C'!H267+'Tab C'!H311+'Tab C'!H383</f>
        <v>339429</v>
      </c>
      <c r="E19" s="225">
        <f>'Tab C'!I21+'Tab C'!I52+'Tab C'!I184+'Tab C'!I239+'Tab C'!I267+'Tab C'!I311+'Tab C'!I383</f>
        <v>230866.72000000003</v>
      </c>
      <c r="F19" s="225">
        <f>'Tab C'!J21+'Tab C'!J52+'Tab C'!J184+'Tab C'!J239+'Tab C'!J267+'Tab C'!J311+'Tab C'!J383</f>
        <v>284813</v>
      </c>
      <c r="G19" s="225">
        <f>'Tab C'!K20+'Tab C'!K51+'Tab C'!K183+'Tab C'!K238+'Tab C'!K266+'Tab C'!K310+'Tab C'!K382</f>
        <v>348598</v>
      </c>
      <c r="H19" s="225">
        <f t="shared" si="2"/>
        <v>102.70130130307074</v>
      </c>
      <c r="I19" s="222">
        <f t="shared" si="3"/>
        <v>122.39539627755755</v>
      </c>
      <c r="J19" s="226">
        <f>G19/G$62</f>
        <v>2.180095699620864E-2</v>
      </c>
      <c r="K19" s="219"/>
      <c r="L19" s="9"/>
    </row>
    <row r="20" spans="1:12" ht="12">
      <c r="A20" s="221"/>
      <c r="B20" s="82"/>
      <c r="C20" s="221"/>
      <c r="D20" s="225"/>
      <c r="E20" s="225"/>
      <c r="F20" s="225"/>
      <c r="G20" s="225"/>
      <c r="H20" s="225"/>
      <c r="I20" s="222"/>
      <c r="J20" s="226"/>
      <c r="K20" s="219"/>
      <c r="L20" s="9"/>
    </row>
    <row r="21" spans="1:12" ht="12">
      <c r="A21" s="220">
        <v>613000</v>
      </c>
      <c r="B21" s="221"/>
      <c r="C21" s="220" t="s">
        <v>78</v>
      </c>
      <c r="D21" s="222">
        <f>D23+D24+D25+D26+D27+D28+D29+D30+D31</f>
        <v>4355030</v>
      </c>
      <c r="E21" s="222">
        <f>E23+E24+E25+E26+E27+E28+E29+E30+E31</f>
        <v>1146401.1099999999</v>
      </c>
      <c r="F21" s="222">
        <f t="shared" ref="F21:G21" si="5">F23+F24+F25+F26+F27+F28+F29+F30+F31</f>
        <v>2411156.4500000002</v>
      </c>
      <c r="G21" s="222">
        <f t="shared" si="5"/>
        <v>5220368</v>
      </c>
      <c r="H21" s="222">
        <f t="shared" si="2"/>
        <v>119.86985164281303</v>
      </c>
      <c r="I21" s="222">
        <f t="shared" si="3"/>
        <v>216.508887260302</v>
      </c>
      <c r="J21" s="223">
        <f>G21/G$62</f>
        <v>0.32647639479395663</v>
      </c>
      <c r="K21" s="224"/>
      <c r="L21" s="10"/>
    </row>
    <row r="22" spans="1:12" ht="5.25" customHeight="1">
      <c r="A22" s="220"/>
      <c r="B22" s="221"/>
      <c r="C22" s="220"/>
      <c r="D22" s="222"/>
      <c r="E22" s="222"/>
      <c r="F22" s="222"/>
      <c r="G22" s="222"/>
      <c r="H22" s="222"/>
      <c r="I22" s="222"/>
      <c r="J22" s="223"/>
      <c r="K22" s="224"/>
      <c r="L22" s="10"/>
    </row>
    <row r="23" spans="1:12" s="41" customFormat="1" ht="12">
      <c r="A23" s="221">
        <v>613100</v>
      </c>
      <c r="B23" s="221"/>
      <c r="C23" s="221" t="s">
        <v>79</v>
      </c>
      <c r="D23" s="225">
        <f>'Tab C'!H22+'Tab C'!H53+'Tab C'!H185+'Tab C'!H240+'Tab C'!H268+'Tab C'!H312+'Tab C'!H384</f>
        <v>18000</v>
      </c>
      <c r="E23" s="225">
        <f>'Tab C'!I22+'Tab C'!I53+'Tab C'!I185+'Tab C'!I240+'Tab C'!I268+'Tab C'!I312+'Tab C'!I384</f>
        <v>4216.16</v>
      </c>
      <c r="F23" s="225">
        <f>'Tab C'!J22+'Tab C'!J53+'Tab C'!J185+'Tab C'!J240+'Tab C'!J268+'Tab C'!J312+'Tab C'!J384</f>
        <v>8250</v>
      </c>
      <c r="G23" s="225">
        <f>'Tab C'!K22+'Tab C'!K53+'Tab C'!K185+'Tab C'!K240+'Tab C'!K268+'Tab C'!K312+'Tab C'!K384</f>
        <v>18000</v>
      </c>
      <c r="H23" s="225">
        <f t="shared" si="2"/>
        <v>100</v>
      </c>
      <c r="I23" s="222">
        <f t="shared" si="3"/>
        <v>218.18181818181816</v>
      </c>
      <c r="J23" s="226">
        <f t="shared" ref="J23:J31" si="6">G23/G$62</f>
        <v>1.1257013119173244E-3</v>
      </c>
      <c r="K23" s="219"/>
      <c r="L23" s="43"/>
    </row>
    <row r="24" spans="1:12" s="41" customFormat="1" ht="12">
      <c r="A24" s="221">
        <v>613200</v>
      </c>
      <c r="B24" s="221"/>
      <c r="C24" s="221" t="s">
        <v>80</v>
      </c>
      <c r="D24" s="225">
        <f>'Tab C'!H186+'Tab C'!H187+'Tab C'!H313+'Tab C'!H314+'Tab C'!H315</f>
        <v>93200</v>
      </c>
      <c r="E24" s="225">
        <f>'Tab C'!I186+'Tab C'!I187+'Tab C'!I313+'Tab C'!I314+'Tab C'!I315</f>
        <v>65876.959999999992</v>
      </c>
      <c r="F24" s="225">
        <f>'Tab C'!J186+'Tab C'!J187+'Tab C'!J313+'Tab C'!J314+'Tab C'!J315</f>
        <v>93200</v>
      </c>
      <c r="G24" s="225">
        <f>'Tab C'!K186+'Tab C'!K187+'Tab C'!K313+'Tab C'!K314+'Tab C'!K315</f>
        <v>93200</v>
      </c>
      <c r="H24" s="225">
        <f t="shared" si="2"/>
        <v>100</v>
      </c>
      <c r="I24" s="222">
        <f t="shared" si="3"/>
        <v>100</v>
      </c>
      <c r="J24" s="226">
        <f t="shared" si="6"/>
        <v>5.8286312372608133E-3</v>
      </c>
      <c r="K24" s="219"/>
      <c r="L24" s="43"/>
    </row>
    <row r="25" spans="1:12" s="41" customFormat="1" ht="12">
      <c r="A25" s="221">
        <v>613300</v>
      </c>
      <c r="B25" s="221"/>
      <c r="C25" s="221" t="s">
        <v>83</v>
      </c>
      <c r="D25" s="225">
        <f>'Tab C'!H188+'Tab C'!H189+'Tab C'!H190+'Tab C'!H191+'Tab C'!H269+'Tab C'!H316+'Tab C'!H317+'Tab C'!H318+'Tab C'!H319</f>
        <v>261100</v>
      </c>
      <c r="E25" s="225">
        <f>'Tab C'!I188+'Tab C'!I189+'Tab C'!I190+'Tab C'!I191+'Tab C'!I269+'Tab C'!I316+'Tab C'!I317+'Tab C'!I318+'Tab C'!I319</f>
        <v>177633.17</v>
      </c>
      <c r="F25" s="225">
        <f>'Tab C'!J188+'Tab C'!J189+'Tab C'!J190+'Tab C'!J191+'Tab C'!J269+'Tab C'!J316+'Tab C'!J317+'Tab C'!J318+'Tab C'!J319</f>
        <v>247100</v>
      </c>
      <c r="G25" s="225">
        <f>'Tab C'!K188+'Tab C'!K189+'Tab C'!K190+'Tab C'!K191+'Tab C'!K269+'Tab C'!K316+'Tab C'!K317+'Tab C'!K318+'Tab C'!K319</f>
        <v>267300</v>
      </c>
      <c r="H25" s="225">
        <f t="shared" si="2"/>
        <v>102.3745691306013</v>
      </c>
      <c r="I25" s="222">
        <f t="shared" si="3"/>
        <v>108.17482800485634</v>
      </c>
      <c r="J25" s="226">
        <f t="shared" si="6"/>
        <v>1.671666448197227E-2</v>
      </c>
      <c r="K25" s="219"/>
      <c r="L25" s="43"/>
    </row>
    <row r="26" spans="1:12" s="41" customFormat="1" ht="12">
      <c r="A26" s="221">
        <v>613400</v>
      </c>
      <c r="B26" s="82"/>
      <c r="C26" s="221" t="s">
        <v>85</v>
      </c>
      <c r="D26" s="225">
        <f>'Tab C'!H23+'Tab C'!H24+'Tab C'!H54+'Tab C'!H192+'Tab C'!H193+'Tab C'!H241+'Tab C'!H242+'Tab C'!H270+'Tab C'!H271+'Tab C'!H272+'Tab C'!H273+'Tab C'!H274+'Tab C'!H320+'Tab C'!H321+'Tab C'!H385</f>
        <v>100730</v>
      </c>
      <c r="E26" s="225">
        <f>'Tab C'!I23+'Tab C'!I24+'Tab C'!I54+'Tab C'!I192+'Tab C'!I193+'Tab C'!I241+'Tab C'!I242+'Tab C'!I270+'Tab C'!I271+'Tab C'!I272+'Tab C'!I273+'Tab C'!I274+'Tab C'!I320+'Tab C'!I321+'Tab C'!I385</f>
        <v>57595.79</v>
      </c>
      <c r="F26" s="225">
        <f>'Tab C'!J23+'Tab C'!J24+'Tab C'!J54+'Tab C'!J192+'Tab C'!J193+'Tab C'!J241+'Tab C'!J242+'Tab C'!J270+'Tab C'!J271+'Tab C'!J272+'Tab C'!J273+'Tab C'!J274+'Tab C'!J320+'Tab C'!J321+'Tab C'!J385</f>
        <v>91223.45</v>
      </c>
      <c r="G26" s="225">
        <f>'Tab C'!K23+'Tab C'!K24+'Tab C'!K54+'Tab C'!K192+'Tab C'!K193+'Tab C'!K241+'Tab C'!K242+'Tab C'!K270+'Tab C'!K271+'Tab C'!K272+'Tab C'!K273+'Tab C'!K274+'Tab C'!K320+'Tab C'!K321+'Tab C'!K385</f>
        <v>92351</v>
      </c>
      <c r="H26" s="225">
        <f t="shared" si="2"/>
        <v>91.681723419041006</v>
      </c>
      <c r="I26" s="222">
        <f t="shared" si="3"/>
        <v>101.23603086706323</v>
      </c>
      <c r="J26" s="226">
        <f t="shared" si="6"/>
        <v>5.77553565871538E-3</v>
      </c>
      <c r="K26" s="219"/>
      <c r="L26" s="43"/>
    </row>
    <row r="27" spans="1:12" s="41" customFormat="1" ht="12">
      <c r="A27" s="221">
        <v>613500</v>
      </c>
      <c r="B27" s="221"/>
      <c r="C27" s="221" t="s">
        <v>88</v>
      </c>
      <c r="D27" s="225">
        <f>'Tab C'!H194+'Tab C'!H195+'Tab C'!H322+'Tab C'!H323</f>
        <v>46000</v>
      </c>
      <c r="E27" s="225">
        <f>'Tab C'!I194+'Tab C'!I195+'Tab C'!I322+'Tab C'!I323</f>
        <v>24263.32</v>
      </c>
      <c r="F27" s="225">
        <f>'Tab C'!J194+'Tab C'!J195+'Tab C'!J322+'Tab C'!J323</f>
        <v>46000</v>
      </c>
      <c r="G27" s="225">
        <f>'Tab C'!K194+'Tab C'!K195+'Tab C'!K322+'Tab C'!K323</f>
        <v>46000</v>
      </c>
      <c r="H27" s="225">
        <f t="shared" si="2"/>
        <v>100</v>
      </c>
      <c r="I27" s="222">
        <f t="shared" si="3"/>
        <v>100</v>
      </c>
      <c r="J27" s="226">
        <f t="shared" si="6"/>
        <v>2.876792241566496E-3</v>
      </c>
      <c r="K27" s="219"/>
      <c r="L27" s="43"/>
    </row>
    <row r="28" spans="1:12" s="41" customFormat="1" ht="12">
      <c r="A28" s="221">
        <v>613600</v>
      </c>
      <c r="B28" s="82"/>
      <c r="C28" s="221" t="s">
        <v>90</v>
      </c>
      <c r="D28" s="225">
        <f>'Tab C'!H196+'Tab C'!H275</f>
        <v>14000</v>
      </c>
      <c r="E28" s="225">
        <f>'Tab C'!I196+'Tab C'!I275</f>
        <v>4885.92</v>
      </c>
      <c r="F28" s="225">
        <f>'Tab C'!J196+'Tab C'!J275</f>
        <v>14000</v>
      </c>
      <c r="G28" s="225">
        <f>'Tab C'!K196+'Tab C'!K275</f>
        <v>14000</v>
      </c>
      <c r="H28" s="225">
        <f t="shared" si="2"/>
        <v>100</v>
      </c>
      <c r="I28" s="222">
        <f t="shared" si="3"/>
        <v>100</v>
      </c>
      <c r="J28" s="226">
        <f t="shared" si="6"/>
        <v>8.7554546482458576E-4</v>
      </c>
      <c r="K28" s="219"/>
      <c r="L28" s="43"/>
    </row>
    <row r="29" spans="1:12" s="41" customFormat="1" ht="12">
      <c r="A29" s="221">
        <v>613700</v>
      </c>
      <c r="B29" s="221"/>
      <c r="C29" s="221" t="s">
        <v>91</v>
      </c>
      <c r="D29" s="225">
        <f>'Tab C'!H25+'Tab C'!H197+'Tab C'!H198+'Tab C'!H199+'Tab C'!H200+'Tab C'!H201+'Tab C'!H202+'Tab C'!H204+'Tab C'!H205+'Tab C'!H324+'Tab C'!H326+'Tab C'!H327+'Tab C'!H328+'Tab C'!H329+'Tab C'!H330+'Tab C'!H331+'Tab C'!H332+'Tab C'!H334+'Tab C'!H335+'Tab C'!H336+'Tab C'!H337+'Tab C'!H338+'Tab C'!H339+'Tab C'!H340+'Tab C'!H344+'Tab C'!H345+'Tab C'!H346+'Tab C'!H347+'Tab C'!H348+'Tab C'!H349+'Tab C'!H350+'Tab C'!H351+'Tab C'!H352</f>
        <v>3019900</v>
      </c>
      <c r="E29" s="225">
        <f>'Tab C'!I25+'Tab C'!I197+'Tab C'!I198+'Tab C'!I199+'Tab C'!I200+'Tab C'!I201+'Tab C'!I202+'Tab C'!I204+'Tab C'!I205+'Tab C'!I324+'Tab C'!I326+'Tab C'!I327+'Tab C'!I328+'Tab C'!I329+'Tab C'!I330+'Tab C'!I331+'Tab C'!I332+'Tab C'!I334+'Tab C'!I335+'Tab C'!I336+'Tab C'!I337+'Tab C'!I338+'Tab C'!I339+'Tab C'!I340+'Tab C'!I344+'Tab C'!I345+'Tab C'!I346+'Tab C'!I347+'Tab C'!I348+'Tab C'!I349+'Tab C'!I350+'Tab C'!I351+'Tab C'!I352</f>
        <v>313967.16000000003</v>
      </c>
      <c r="F29" s="225">
        <f>'Tab C'!J25+'Tab C'!J197+'Tab C'!J198+'Tab C'!J199+'Tab C'!J200+'Tab C'!J201+'Tab C'!J202+'Tab C'!J204+'Tab C'!J205+'Tab C'!J324+'Tab C'!J326+'Tab C'!J327+'Tab C'!J328+'Tab C'!J329+'Tab C'!J330+'Tab C'!J331+'Tab C'!J332+'Tab C'!J334+'Tab C'!J335+'Tab C'!J336+'Tab C'!J337+'Tab C'!J338+'Tab C'!J339+'Tab C'!J340+'Tab C'!J344+'Tab C'!J345+'Tab C'!J346+'Tab C'!J347+'Tab C'!J348+'Tab C'!J349+'Tab C'!J350+'Tab C'!J351+'Tab C'!J352</f>
        <v>1132377</v>
      </c>
      <c r="G29" s="225">
        <f>'Tab C'!K25+'Tab C'!K197+'Tab C'!K198+'Tab C'!K199+'Tab C'!K200+'Tab C'!K201+'Tab C'!K202+'Tab C'!K203+'Tab C'!K204+'Tab C'!K205+'Tab C'!K206+'Tab C'!K207+'Tab C'!K243+'Tab C'!K244+'Tab C'!K245+'Tab C'!K246+'Tab C'!K324+'Tab C'!K325+'Tab C'!K326+'Tab C'!K327+'Tab C'!K328+'Tab C'!K329+'Tab C'!K330+'Tab C'!K331+'Tab C'!K333+'Tab C'!K334+'Tab C'!K335+'Tab C'!K336+'Tab C'!K337+'Tab C'!K338+'Tab C'!K339+'Tab C'!K340+'Tab C'!K341+'Tab C'!K342+'Tab C'!K343+'Tab C'!K344+'Tab C'!K345+'Tab C'!K346+'Tab C'!K347+'Tab C'!K348+'Tab C'!K349+'Tab C'!K350+'Tab C'!K351+'Tab C'!K352</f>
        <v>3823707</v>
      </c>
      <c r="H29" s="225">
        <f t="shared" si="2"/>
        <v>126.6170071856684</v>
      </c>
      <c r="I29" s="222">
        <f t="shared" si="3"/>
        <v>337.67084637006934</v>
      </c>
      <c r="J29" s="226">
        <f t="shared" si="6"/>
        <v>0.23913066590485874</v>
      </c>
      <c r="K29" s="219"/>
      <c r="L29" s="43"/>
    </row>
    <row r="30" spans="1:12" s="41" customFormat="1" ht="12">
      <c r="A30" s="221">
        <v>613800</v>
      </c>
      <c r="B30" s="221"/>
      <c r="C30" s="221" t="s">
        <v>92</v>
      </c>
      <c r="D30" s="225">
        <f>'Tab C'!H26+'Tab C'!H55+'Tab C'!H208+'Tab C'!H209+'Tab C'!H210+'Tab C'!H247+'Tab C'!H276+'Tab C'!H353+'Tab C'!H354+'Tab C'!H386</f>
        <v>32400</v>
      </c>
      <c r="E30" s="225">
        <f>'Tab C'!I26+'Tab C'!I55+'Tab C'!I208+'Tab C'!I209+'Tab C'!I210+'Tab C'!I247+'Tab C'!I276+'Tab C'!I353+'Tab C'!I354+'Tab C'!I386</f>
        <v>15550.4</v>
      </c>
      <c r="F30" s="225">
        <f>'Tab C'!J26+'Tab C'!J55+'Tab C'!J208+'Tab C'!J209+'Tab C'!J210+'Tab C'!J247+'Tab C'!J276+'Tab C'!J353+'Tab C'!J354+'Tab C'!J386</f>
        <v>27306</v>
      </c>
      <c r="G30" s="225">
        <f>'Tab C'!K26+'Tab C'!K55+'Tab C'!K208+'Tab C'!K209+'Tab C'!K210+'Tab C'!K247+'Tab C'!K276+'Tab C'!K353+'Tab C'!K354+'Tab C'!K386</f>
        <v>32630</v>
      </c>
      <c r="H30" s="225">
        <f t="shared" ref="H30:H37" si="7">G30/D30*100</f>
        <v>100.70987654320989</v>
      </c>
      <c r="I30" s="222">
        <f t="shared" si="3"/>
        <v>119.49754632681461</v>
      </c>
      <c r="J30" s="226">
        <f t="shared" si="6"/>
        <v>2.0406463226590164E-3</v>
      </c>
      <c r="K30" s="219"/>
      <c r="L30" s="43"/>
    </row>
    <row r="31" spans="1:12" s="41" customFormat="1" ht="12">
      <c r="A31" s="221">
        <v>613900</v>
      </c>
      <c r="B31" s="221"/>
      <c r="C31" s="221" t="s">
        <v>94</v>
      </c>
      <c r="D31" s="225">
        <f>'Tab C'!H27+'Tab C'!H28+'Tab C'!H29+'Tab C'!H32+'Tab C'!H33+'Tab C'!H57+'Tab C'!H58+'Tab C'!H59+'Tab C'!H60+'Tab C'!H61+'Tab C'!H62+'Tab C'!H63+'Tab C'!H64+'Tab C'!H65+'Tab C'!H66+'Tab C'!H67+'Tab C'!H69+'Tab C'!H70+'Tab C'!H71+'Tab C'!H73+'Tab C'!H211+'Tab C'!H212+'Tab C'!H213+'Tab C'!H248+'Tab C'!H277+'Tab C'!H278+'Tab C'!H279+'Tab C'!H355+'Tab C'!H356+'Tab C'!H357+'Tab C'!H387+'Tab C'!H249</f>
        <v>769700</v>
      </c>
      <c r="E31" s="225">
        <f>'Tab C'!I27+'Tab C'!I28+'Tab C'!I29+'Tab C'!I32+'Tab C'!I33+'Tab C'!I57+'Tab C'!I58+'Tab C'!I59+'Tab C'!I60+'Tab C'!I61+'Tab C'!I62+'Tab C'!I63+'Tab C'!I64+'Tab C'!I65+'Tab C'!I66+'Tab C'!I67+'Tab C'!I69+'Tab C'!I70+'Tab C'!I71+'Tab C'!I73+'Tab C'!I211+'Tab C'!I212+'Tab C'!I213+'Tab C'!I248+'Tab C'!I277+'Tab C'!I278+'Tab C'!I279+'Tab C'!I355+'Tab C'!I356+'Tab C'!I357+'Tab C'!I387+'Tab C'!I249</f>
        <v>482412.23</v>
      </c>
      <c r="F31" s="225">
        <f>'Tab C'!J27+'Tab C'!J28+'Tab C'!J29+'Tab C'!J32+'Tab C'!J33+'Tab C'!J57+'Tab C'!J58+'Tab C'!J59+'Tab C'!J60+'Tab C'!J61+'Tab C'!J62+'Tab C'!J63+'Tab C'!J64+'Tab C'!J65+'Tab C'!J66+'Tab C'!J67+'Tab C'!J69+'Tab C'!J70+'Tab C'!J71+'Tab C'!J73+'Tab C'!J211+'Tab C'!J212+'Tab C'!J213+'Tab C'!J248+'Tab C'!J277+'Tab C'!J278+'Tab C'!J279+'Tab C'!J355+'Tab C'!J356+'Tab C'!J357+'Tab C'!J387+'Tab C'!J249</f>
        <v>751700</v>
      </c>
      <c r="G31" s="225">
        <f>'Tab C'!K27+'Tab C'!K28+'Tab C'!K29+'Tab C'!K30+'Tab C'!K31+'Tab C'!K32+'Tab C'!K33+'Tab C'!K56+'Tab C'!K57+'Tab C'!K58+'Tab C'!K59+'Tab C'!K60+'Tab C'!K61+'Tab C'!K62+'Tab C'!K63+'Tab C'!K64+'Tab C'!K65+'Tab C'!K66+'Tab C'!K67+'Tab C'!K68+'Tab C'!K69+'Tab C'!K70+'Tab C'!K71+'Tab C'!K74+'Tab C'!K75+'Tab C'!K76+'Tab C'!K72+'Tab C'!K73+'Tab C'!K211+'Tab C'!K212+'Tab C'!K213+'Tab C'!K248+'Tab C'!K277+'Tab C'!K278+'Tab C'!K279+'Tab C'!K355+'Tab C'!K356+'Tab C'!K357+'Tab C'!K387+'Tab C'!K249</f>
        <v>833180</v>
      </c>
      <c r="H31" s="225">
        <f t="shared" si="7"/>
        <v>108.24736910484604</v>
      </c>
      <c r="I31" s="222">
        <f t="shared" si="3"/>
        <v>110.83943062391913</v>
      </c>
      <c r="J31" s="226">
        <f t="shared" si="6"/>
        <v>5.210621217018202E-2</v>
      </c>
      <c r="K31" s="219"/>
      <c r="L31" s="43"/>
    </row>
    <row r="32" spans="1:12" ht="12">
      <c r="A32" s="221"/>
      <c r="B32" s="82"/>
      <c r="C32" s="227"/>
      <c r="D32" s="225"/>
      <c r="E32" s="225"/>
      <c r="F32" s="225"/>
      <c r="G32" s="225"/>
      <c r="H32" s="225"/>
      <c r="I32" s="222"/>
      <c r="J32" s="226"/>
      <c r="K32" s="224"/>
      <c r="L32" s="10"/>
    </row>
    <row r="33" spans="1:12" ht="12">
      <c r="A33" s="220">
        <v>614000</v>
      </c>
      <c r="B33" s="82"/>
      <c r="C33" s="220" t="s">
        <v>97</v>
      </c>
      <c r="D33" s="222">
        <f>D35+D36+D37+D38+D39+D40</f>
        <v>2495600</v>
      </c>
      <c r="E33" s="222">
        <f>E35+E36+E37+E38+E39+E40</f>
        <v>1580052.76</v>
      </c>
      <c r="F33" s="222">
        <f t="shared" ref="F33:G33" si="8">F35+F36+F37+F38+F39+F40</f>
        <v>2483216</v>
      </c>
      <c r="G33" s="222">
        <f t="shared" si="8"/>
        <v>2451650</v>
      </c>
      <c r="H33" s="222">
        <f t="shared" si="7"/>
        <v>98.238900464818073</v>
      </c>
      <c r="I33" s="222">
        <f t="shared" si="3"/>
        <v>98.728825845194308</v>
      </c>
      <c r="J33" s="223">
        <f>G33/G$62</f>
        <v>0.15332364563122824</v>
      </c>
      <c r="K33" s="224"/>
      <c r="L33" s="10"/>
    </row>
    <row r="34" spans="1:12" ht="5.25" customHeight="1">
      <c r="A34" s="220"/>
      <c r="B34" s="82"/>
      <c r="C34" s="220"/>
      <c r="D34" s="222"/>
      <c r="E34" s="222"/>
      <c r="F34" s="222"/>
      <c r="G34" s="222"/>
      <c r="H34" s="222"/>
      <c r="I34" s="222"/>
      <c r="J34" s="223"/>
      <c r="K34" s="224"/>
      <c r="L34" s="10"/>
    </row>
    <row r="35" spans="1:12" s="41" customFormat="1" ht="12">
      <c r="A35" s="221">
        <v>614100</v>
      </c>
      <c r="B35" s="221"/>
      <c r="C35" s="221" t="s">
        <v>98</v>
      </c>
      <c r="D35" s="225">
        <f>SUM('Tab C'!H77:'Tab C'!H98)+SUM('Tab C'!H280:'Tab C'!H281)</f>
        <v>1399600</v>
      </c>
      <c r="E35" s="225">
        <f>SUM('Tab C'!I77:'Tab C'!I98)+SUM('Tab C'!I280:'Tab C'!I281)</f>
        <v>961013.40999999992</v>
      </c>
      <c r="F35" s="225">
        <f>SUM('Tab C'!J77:'Tab C'!J98)+SUM('Tab C'!J280:'Tab C'!J281)</f>
        <v>1385600</v>
      </c>
      <c r="G35" s="225">
        <f>SUM('Tab C'!K77:'Tab C'!K98)+SUM('Tab C'!K280:'Tab C'!K281)</f>
        <v>1400150</v>
      </c>
      <c r="H35" s="225">
        <f t="shared" si="7"/>
        <v>100.03929694198341</v>
      </c>
      <c r="I35" s="222">
        <f t="shared" si="3"/>
        <v>101.05008660508084</v>
      </c>
      <c r="J35" s="226">
        <f t="shared" ref="J35:J40" si="9">G35/G$62</f>
        <v>8.756392732672455E-2</v>
      </c>
      <c r="K35" s="219"/>
      <c r="L35" s="43"/>
    </row>
    <row r="36" spans="1:12" s="41" customFormat="1" ht="12">
      <c r="A36" s="221">
        <v>614200</v>
      </c>
      <c r="B36" s="221"/>
      <c r="C36" s="221" t="s">
        <v>99</v>
      </c>
      <c r="D36" s="225">
        <f>'Tab C'!H99+SUM('Tab C'!H282:'Tab C'!H292)</f>
        <v>318000</v>
      </c>
      <c r="E36" s="225">
        <f>'Tab C'!I99+SUM('Tab C'!I282:'Tab C'!I292)</f>
        <v>185672.88</v>
      </c>
      <c r="F36" s="225">
        <f>'Tab C'!J99+SUM('Tab C'!J282:'Tab C'!J292)</f>
        <v>318000</v>
      </c>
      <c r="G36" s="225">
        <f>'Tab C'!K99+SUM('Tab C'!K282:'Tab C'!K292)</f>
        <v>342000</v>
      </c>
      <c r="H36" s="225">
        <f t="shared" si="7"/>
        <v>107.54716981132076</v>
      </c>
      <c r="I36" s="222">
        <f t="shared" si="3"/>
        <v>107.54716981132076</v>
      </c>
      <c r="J36" s="226">
        <f t="shared" si="9"/>
        <v>2.1388324926429166E-2</v>
      </c>
      <c r="K36" s="219"/>
      <c r="L36" s="43"/>
    </row>
    <row r="37" spans="1:12" s="41" customFormat="1" ht="12">
      <c r="A37" s="221">
        <v>614300</v>
      </c>
      <c r="B37" s="221"/>
      <c r="C37" s="221" t="s">
        <v>100</v>
      </c>
      <c r="D37" s="225">
        <f>SUM('Tab C'!H100:'Tab C'!H111)+'Tab C'!H293+'Tab C'!H294</f>
        <v>264500</v>
      </c>
      <c r="E37" s="225">
        <f>SUM('Tab C'!I100:'Tab C'!I111)+'Tab C'!I293+'Tab C'!I294</f>
        <v>170365</v>
      </c>
      <c r="F37" s="225">
        <f>SUM('Tab C'!J100:'Tab C'!J111)+'Tab C'!J293+'Tab C'!J294</f>
        <v>264500</v>
      </c>
      <c r="G37" s="225">
        <f>SUM('Tab C'!K100:'Tab C'!K111)+'Tab C'!K293+'Tab C'!K294</f>
        <v>212500</v>
      </c>
      <c r="H37" s="225">
        <f t="shared" si="7"/>
        <v>80.340264650283558</v>
      </c>
      <c r="I37" s="222">
        <f t="shared" si="3"/>
        <v>80.340264650283558</v>
      </c>
      <c r="J37" s="226">
        <f t="shared" si="9"/>
        <v>1.3289529376801747E-2</v>
      </c>
      <c r="K37" s="219"/>
      <c r="L37" s="43"/>
    </row>
    <row r="38" spans="1:12" s="41" customFormat="1" ht="12">
      <c r="A38" s="221">
        <v>614400</v>
      </c>
      <c r="B38" s="221"/>
      <c r="C38" s="227" t="s">
        <v>101</v>
      </c>
      <c r="D38" s="225">
        <f>SUM('Tab C'!H214:'Tab C'!H220)</f>
        <v>430000</v>
      </c>
      <c r="E38" s="225">
        <f>SUM('Tab C'!I214:'Tab C'!I220)</f>
        <v>200656</v>
      </c>
      <c r="F38" s="225">
        <f>SUM('Tab C'!J214:'Tab C'!J220)</f>
        <v>431616</v>
      </c>
      <c r="G38" s="225">
        <f>SUM('Tab C'!K214:'Tab C'!K220)</f>
        <v>435000</v>
      </c>
      <c r="H38" s="225">
        <f t="shared" ref="H38:H53" si="10">G38/D38*100</f>
        <v>101.16279069767442</v>
      </c>
      <c r="I38" s="222">
        <f t="shared" si="3"/>
        <v>100.78403024911032</v>
      </c>
      <c r="J38" s="226">
        <f t="shared" si="9"/>
        <v>2.7204448371335344E-2</v>
      </c>
      <c r="K38" s="219"/>
      <c r="L38" s="43"/>
    </row>
    <row r="39" spans="1:12" s="41" customFormat="1" ht="12">
      <c r="A39" s="221">
        <v>614500</v>
      </c>
      <c r="B39" s="221"/>
      <c r="C39" s="227" t="s">
        <v>102</v>
      </c>
      <c r="D39" s="225">
        <f>'Tab C'!H221+'Tab C'!H222</f>
        <v>75000</v>
      </c>
      <c r="E39" s="225">
        <f>'Tab C'!I221+'Tab C'!I222</f>
        <v>55615.69</v>
      </c>
      <c r="F39" s="225">
        <f>'Tab C'!J221+'Tab C'!J222</f>
        <v>75000</v>
      </c>
      <c r="G39" s="225">
        <f>'Tab C'!K221+'Tab C'!K222</f>
        <v>55000</v>
      </c>
      <c r="H39" s="225">
        <f t="shared" si="10"/>
        <v>73.333333333333329</v>
      </c>
      <c r="I39" s="222">
        <f t="shared" si="3"/>
        <v>73.333333333333329</v>
      </c>
      <c r="J39" s="226">
        <f t="shared" si="9"/>
        <v>3.4396428975251581E-3</v>
      </c>
      <c r="K39" s="219"/>
      <c r="L39" s="43"/>
    </row>
    <row r="40" spans="1:12" s="41" customFormat="1" ht="12">
      <c r="A40" s="221">
        <v>614800</v>
      </c>
      <c r="B40" s="221"/>
      <c r="C40" s="221" t="s">
        <v>103</v>
      </c>
      <c r="D40" s="225">
        <f>'Tab C'!H112</f>
        <v>8500</v>
      </c>
      <c r="E40" s="225">
        <f>'Tab C'!I112</f>
        <v>6729.78</v>
      </c>
      <c r="F40" s="225">
        <f>'Tab C'!J112</f>
        <v>8500</v>
      </c>
      <c r="G40" s="225">
        <f>'Tab C'!K112</f>
        <v>7000</v>
      </c>
      <c r="H40" s="225">
        <f t="shared" si="10"/>
        <v>82.35294117647058</v>
      </c>
      <c r="I40" s="222">
        <f t="shared" si="3"/>
        <v>82.35294117647058</v>
      </c>
      <c r="J40" s="226">
        <f t="shared" si="9"/>
        <v>4.3777273241229288E-4</v>
      </c>
      <c r="K40" s="219"/>
      <c r="L40" s="43"/>
    </row>
    <row r="41" spans="1:12" ht="12">
      <c r="A41" s="221"/>
      <c r="B41" s="82"/>
      <c r="C41" s="221"/>
      <c r="D41" s="225"/>
      <c r="E41" s="225"/>
      <c r="F41" s="225"/>
      <c r="G41" s="225"/>
      <c r="H41" s="225"/>
      <c r="I41" s="222"/>
      <c r="J41" s="226"/>
      <c r="K41" s="219"/>
      <c r="L41" s="9"/>
    </row>
    <row r="42" spans="1:12" ht="12">
      <c r="A42" s="220">
        <v>615000</v>
      </c>
      <c r="B42" s="221"/>
      <c r="C42" s="220" t="s">
        <v>104</v>
      </c>
      <c r="D42" s="222">
        <f>D44+D45+D46</f>
        <v>1019500</v>
      </c>
      <c r="E42" s="222">
        <f>E44+E45+E46</f>
        <v>211194.18</v>
      </c>
      <c r="F42" s="222">
        <f t="shared" ref="F42:G42" si="11">F44+F45+F46</f>
        <v>637714.18000000005</v>
      </c>
      <c r="G42" s="222">
        <f t="shared" si="11"/>
        <v>1490000</v>
      </c>
      <c r="H42" s="222">
        <f t="shared" si="10"/>
        <v>146.15007356547326</v>
      </c>
      <c r="I42" s="222">
        <f t="shared" si="3"/>
        <v>233.64699213682215</v>
      </c>
      <c r="J42" s="223">
        <f>G42/G$62</f>
        <v>9.3183053042045189E-2</v>
      </c>
      <c r="K42" s="224"/>
      <c r="L42" s="10"/>
    </row>
    <row r="43" spans="1:12" ht="5.25" customHeight="1">
      <c r="A43" s="220"/>
      <c r="B43" s="221"/>
      <c r="C43" s="220"/>
      <c r="D43" s="222"/>
      <c r="E43" s="222"/>
      <c r="F43" s="222"/>
      <c r="G43" s="222"/>
      <c r="H43" s="222"/>
      <c r="I43" s="222"/>
      <c r="J43" s="223"/>
      <c r="K43" s="224"/>
      <c r="L43" s="10"/>
    </row>
    <row r="44" spans="1:12" s="41" customFormat="1" ht="12">
      <c r="A44" s="221">
        <v>615100</v>
      </c>
      <c r="B44" s="221"/>
      <c r="C44" s="221" t="s">
        <v>105</v>
      </c>
      <c r="D44" s="225">
        <f>SUM('Tab C'!H113:'Tab C'!H145)</f>
        <v>1019500</v>
      </c>
      <c r="E44" s="225">
        <f>SUM('Tab C'!I113:'Tab C'!I145)</f>
        <v>211194.18</v>
      </c>
      <c r="F44" s="225">
        <f>SUM('Tab C'!J113:'Tab C'!J145)</f>
        <v>637714.18000000005</v>
      </c>
      <c r="G44" s="225">
        <f>SUM('Tab C'!K113:'Tab C'!K145)</f>
        <v>1450000</v>
      </c>
      <c r="H44" s="225">
        <f t="shared" si="10"/>
        <v>142.22658165767533</v>
      </c>
      <c r="I44" s="222">
        <f t="shared" si="3"/>
        <v>227.37458966335043</v>
      </c>
      <c r="J44" s="226">
        <f>G44/G$62</f>
        <v>9.0681494571117807E-2</v>
      </c>
      <c r="K44" s="219"/>
      <c r="L44" s="43"/>
    </row>
    <row r="45" spans="1:12" s="41" customFormat="1" ht="12">
      <c r="A45" s="221">
        <v>615400</v>
      </c>
      <c r="B45" s="221"/>
      <c r="C45" s="221" t="s">
        <v>504</v>
      </c>
      <c r="D45" s="225">
        <f>'Tab C'!H146</f>
        <v>0</v>
      </c>
      <c r="E45" s="225">
        <f>'Tab C'!I146</f>
        <v>0</v>
      </c>
      <c r="F45" s="225">
        <f>'Tab C'!J146</f>
        <v>0</v>
      </c>
      <c r="G45" s="225">
        <f>'Tab C'!K146</f>
        <v>40000</v>
      </c>
      <c r="H45" s="225" t="e">
        <f t="shared" si="10"/>
        <v>#DIV/0!</v>
      </c>
      <c r="I45" s="222" t="e">
        <f t="shared" si="3"/>
        <v>#DIV/0!</v>
      </c>
      <c r="J45" s="226">
        <f>G45/G$62</f>
        <v>2.5015584709273879E-3</v>
      </c>
      <c r="K45" s="219"/>
      <c r="L45" s="43"/>
    </row>
    <row r="46" spans="1:12" s="41" customFormat="1" ht="12">
      <c r="A46" s="221"/>
      <c r="B46" s="221"/>
      <c r="C46" s="221"/>
      <c r="D46" s="225"/>
      <c r="E46" s="225"/>
      <c r="F46" s="225"/>
      <c r="G46" s="225"/>
      <c r="H46" s="225"/>
      <c r="I46" s="222"/>
      <c r="J46" s="226"/>
      <c r="K46" s="219"/>
      <c r="L46" s="43"/>
    </row>
    <row r="47" spans="1:12" ht="12.75" customHeight="1">
      <c r="A47" s="175"/>
      <c r="B47" s="131"/>
      <c r="C47" s="228"/>
      <c r="D47" s="176"/>
      <c r="E47" s="176"/>
      <c r="F47" s="176"/>
      <c r="G47" s="176"/>
      <c r="H47" s="176"/>
      <c r="I47" s="222"/>
      <c r="J47" s="177"/>
      <c r="K47" s="224"/>
      <c r="L47" s="10"/>
    </row>
    <row r="48" spans="1:12" ht="12">
      <c r="A48" s="220">
        <v>820000</v>
      </c>
      <c r="B48" s="221"/>
      <c r="C48" s="220" t="s">
        <v>106</v>
      </c>
      <c r="D48" s="222">
        <f>D50+D56</f>
        <v>2653396</v>
      </c>
      <c r="E48" s="222">
        <f t="shared" ref="E48:G48" si="12">E50+E56</f>
        <v>732318.15</v>
      </c>
      <c r="F48" s="222">
        <f t="shared" si="12"/>
        <v>1721078</v>
      </c>
      <c r="G48" s="222">
        <f t="shared" si="12"/>
        <v>2465056</v>
      </c>
      <c r="H48" s="222">
        <f t="shared" si="10"/>
        <v>92.9019264369133</v>
      </c>
      <c r="I48" s="222">
        <f t="shared" si="3"/>
        <v>143.22744233555946</v>
      </c>
      <c r="J48" s="223">
        <f>G48/G$62</f>
        <v>0.15416204295275956</v>
      </c>
      <c r="K48" s="224"/>
      <c r="L48" s="10"/>
    </row>
    <row r="49" spans="1:12" ht="5.25" customHeight="1">
      <c r="A49" s="220"/>
      <c r="B49" s="221"/>
      <c r="C49" s="220"/>
      <c r="D49" s="222"/>
      <c r="E49" s="222"/>
      <c r="F49" s="222"/>
      <c r="G49" s="222"/>
      <c r="H49" s="222"/>
      <c r="I49" s="222"/>
      <c r="J49" s="223"/>
      <c r="K49" s="224"/>
      <c r="L49" s="10"/>
    </row>
    <row r="50" spans="1:12" ht="12">
      <c r="A50" s="220">
        <v>821000</v>
      </c>
      <c r="B50" s="221"/>
      <c r="C50" s="220" t="s">
        <v>195</v>
      </c>
      <c r="D50" s="222">
        <f>D52+D53+D54</f>
        <v>2488396</v>
      </c>
      <c r="E50" s="222">
        <f t="shared" ref="E50:G50" si="13">E52+E53+E54</f>
        <v>732318.15</v>
      </c>
      <c r="F50" s="222">
        <f t="shared" si="13"/>
        <v>1721078</v>
      </c>
      <c r="G50" s="222">
        <f t="shared" si="13"/>
        <v>2265056</v>
      </c>
      <c r="H50" s="222">
        <f t="shared" si="10"/>
        <v>91.024740435204038</v>
      </c>
      <c r="I50" s="222">
        <f t="shared" si="3"/>
        <v>131.60681851723163</v>
      </c>
      <c r="J50" s="223">
        <f>G50/G$62</f>
        <v>0.14165425059812264</v>
      </c>
      <c r="K50" s="224"/>
      <c r="L50" s="10"/>
    </row>
    <row r="51" spans="1:12" ht="6" customHeight="1">
      <c r="A51" s="220"/>
      <c r="B51" s="221"/>
      <c r="C51" s="220"/>
      <c r="D51" s="222"/>
      <c r="E51" s="222"/>
      <c r="F51" s="222"/>
      <c r="G51" s="222"/>
      <c r="H51" s="222"/>
      <c r="I51" s="222"/>
      <c r="J51" s="223"/>
      <c r="K51" s="224"/>
      <c r="L51" s="10"/>
    </row>
    <row r="52" spans="1:12" ht="12">
      <c r="A52" s="299">
        <v>821100</v>
      </c>
      <c r="B52" s="299"/>
      <c r="C52" s="299" t="s">
        <v>107</v>
      </c>
      <c r="D52" s="300">
        <f>'Tab C'!H359</f>
        <v>30000</v>
      </c>
      <c r="E52" s="300">
        <f>'Tab C'!I359</f>
        <v>0</v>
      </c>
      <c r="F52" s="300">
        <f>'Tab C'!J359</f>
        <v>0</v>
      </c>
      <c r="G52" s="300">
        <f>'Tab C'!K359</f>
        <v>256076</v>
      </c>
      <c r="H52" s="300">
        <f t="shared" si="10"/>
        <v>853.5866666666667</v>
      </c>
      <c r="I52" s="222" t="e">
        <f t="shared" si="3"/>
        <v>#DIV/0!</v>
      </c>
      <c r="J52" s="301">
        <f>G52/G$62</f>
        <v>1.6014727175030045E-2</v>
      </c>
      <c r="K52" s="224"/>
      <c r="L52" s="10"/>
    </row>
    <row r="53" spans="1:12" ht="12">
      <c r="A53" s="299">
        <v>821200</v>
      </c>
      <c r="B53" s="299"/>
      <c r="C53" s="299" t="s">
        <v>108</v>
      </c>
      <c r="D53" s="300">
        <f>'Tab C'!H148+'Tab C'!H149+'Tab C'!H150+'Tab C'!H152+'Tab C'!H56+'Tab C'!H154+'Tab C'!H155+'Tab C'!H156+'Tab C'!H157+'Tab C'!H158+'Tab C'!H360+'Tab C'!H361+'Tab C'!H362+'Tab C'!H363</f>
        <v>2237796</v>
      </c>
      <c r="E53" s="300">
        <f>'Tab C'!I148+'Tab C'!I149+'Tab C'!I150+'Tab C'!I152+'Tab C'!I56+'Tab C'!I154+'Tab C'!I155+'Tab C'!I156+'Tab C'!I157+'Tab C'!I158+'Tab C'!I360+'Tab C'!I361+'Tab C'!I362+'Tab C'!I363</f>
        <v>709237.9</v>
      </c>
      <c r="F53" s="300">
        <f>'Tab C'!J148+'Tab C'!J149+'Tab C'!J150+'Tab C'!J152+'Tab C'!J56+'Tab C'!J154+'Tab C'!J155+'Tab C'!J156+'Tab C'!J157+'Tab C'!J158+'Tab C'!J360+'Tab C'!J361+'Tab C'!J362+'Tab C'!J363</f>
        <v>1500478</v>
      </c>
      <c r="G53" s="300">
        <f>'Tab C'!K148+'Tab C'!K149+'Tab C'!K150+'Tab C'!K151+'Tab C'!K152+'Tab C'!K153+'Tab C'!K154+'Tab C'!K155+'Tab C'!K156+'Tab C'!K157+'Tab C'!K158+'Tab C'!K360+'Tab C'!K361+'Tab C'!K362+'Tab C'!K363</f>
        <v>1908980</v>
      </c>
      <c r="H53" s="300">
        <f t="shared" si="10"/>
        <v>85.30625669185217</v>
      </c>
      <c r="I53" s="222">
        <f t="shared" si="3"/>
        <v>127.22479103325742</v>
      </c>
      <c r="J53" s="301">
        <f>G53/G$62</f>
        <v>0.11938562724577412</v>
      </c>
      <c r="K53" s="224"/>
      <c r="L53" s="10"/>
    </row>
    <row r="54" spans="1:12" ht="12">
      <c r="A54" s="299">
        <v>821300</v>
      </c>
      <c r="B54" s="299"/>
      <c r="C54" s="299" t="s">
        <v>109</v>
      </c>
      <c r="D54" s="300">
        <f>'Tab C'!H159+'Tab C'!H161+'Tab C'!H162+'Tab C'!H163+'Tab C'!H364</f>
        <v>220600</v>
      </c>
      <c r="E54" s="300">
        <f>'Tab C'!I159+'Tab C'!I161+'Tab C'!I162+'Tab C'!I163+'Tab C'!I364</f>
        <v>23080.25</v>
      </c>
      <c r="F54" s="300">
        <f>'Tab C'!J159+'Tab C'!J161+'Tab C'!J162+'Tab C'!J163+'Tab C'!J364</f>
        <v>220600</v>
      </c>
      <c r="G54" s="300">
        <f>'Tab C'!K159+'Tab C'!K160+'Tab C'!K161+'Tab C'!K162+'Tab C'!K163+'Tab C'!K364</f>
        <v>100000</v>
      </c>
      <c r="H54" s="300">
        <f t="shared" ref="H54:H62" si="14">G54/D54*100</f>
        <v>45.330915684496823</v>
      </c>
      <c r="I54" s="222">
        <f t="shared" si="3"/>
        <v>45.330915684496823</v>
      </c>
      <c r="J54" s="301">
        <f>G54/G$62</f>
        <v>6.253896177318469E-3</v>
      </c>
      <c r="K54" s="224"/>
      <c r="L54" s="10"/>
    </row>
    <row r="55" spans="1:12" ht="12">
      <c r="A55" s="221"/>
      <c r="B55" s="82"/>
      <c r="C55" s="221"/>
      <c r="D55" s="225"/>
      <c r="E55" s="225"/>
      <c r="F55" s="225"/>
      <c r="G55" s="225"/>
      <c r="H55" s="225"/>
      <c r="I55" s="222"/>
      <c r="J55" s="226"/>
      <c r="K55" s="224"/>
      <c r="L55" s="9"/>
    </row>
    <row r="56" spans="1:12" s="38" customFormat="1" ht="12">
      <c r="A56" s="74">
        <v>823000</v>
      </c>
      <c r="B56" s="76"/>
      <c r="C56" s="74" t="s">
        <v>196</v>
      </c>
      <c r="D56" s="222">
        <f>D58</f>
        <v>165000</v>
      </c>
      <c r="E56" s="222">
        <f t="shared" ref="E56:G56" si="15">E58</f>
        <v>0</v>
      </c>
      <c r="F56" s="222">
        <f t="shared" si="15"/>
        <v>0</v>
      </c>
      <c r="G56" s="222">
        <f t="shared" si="15"/>
        <v>200000</v>
      </c>
      <c r="H56" s="222">
        <f t="shared" si="14"/>
        <v>121.21212121212122</v>
      </c>
      <c r="I56" s="222" t="e">
        <f t="shared" si="3"/>
        <v>#DIV/0!</v>
      </c>
      <c r="J56" s="223">
        <f>G56/G$62</f>
        <v>1.2507792354636938E-2</v>
      </c>
      <c r="K56" s="224"/>
      <c r="L56" s="10"/>
    </row>
    <row r="57" spans="1:12" s="38" customFormat="1" ht="5.25" customHeight="1">
      <c r="A57" s="74"/>
      <c r="B57" s="76"/>
      <c r="C57" s="74"/>
      <c r="D57" s="222"/>
      <c r="E57" s="222"/>
      <c r="F57" s="222"/>
      <c r="G57" s="222"/>
      <c r="H57" s="222"/>
      <c r="I57" s="222"/>
      <c r="J57" s="223"/>
      <c r="K57" s="224"/>
      <c r="L57" s="10"/>
    </row>
    <row r="58" spans="1:12" s="38" customFormat="1" ht="12">
      <c r="A58" s="299">
        <v>823500</v>
      </c>
      <c r="B58" s="299"/>
      <c r="C58" s="299" t="s">
        <v>502</v>
      </c>
      <c r="D58" s="300">
        <f>'Tab C'!H165</f>
        <v>165000</v>
      </c>
      <c r="E58" s="300">
        <f>'Tab C'!I165</f>
        <v>0</v>
      </c>
      <c r="F58" s="300">
        <f>'Tab C'!J165</f>
        <v>0</v>
      </c>
      <c r="G58" s="300">
        <f>'Tab C'!K165</f>
        <v>200000</v>
      </c>
      <c r="H58" s="300">
        <f t="shared" si="14"/>
        <v>121.21212121212122</v>
      </c>
      <c r="I58" s="222" t="e">
        <f t="shared" si="3"/>
        <v>#DIV/0!</v>
      </c>
      <c r="J58" s="301">
        <f>G58/G$62</f>
        <v>1.2507792354636938E-2</v>
      </c>
      <c r="K58" s="224"/>
      <c r="L58" s="10"/>
    </row>
    <row r="59" spans="1:12" ht="12">
      <c r="A59" s="76"/>
      <c r="B59" s="82"/>
      <c r="C59" s="168"/>
      <c r="D59" s="225"/>
      <c r="E59" s="225"/>
      <c r="F59" s="225"/>
      <c r="G59" s="225"/>
      <c r="H59" s="225"/>
      <c r="I59" s="222"/>
      <c r="J59" s="226"/>
      <c r="K59" s="224"/>
      <c r="L59" s="9"/>
    </row>
    <row r="60" spans="1:12" ht="12">
      <c r="A60" s="220">
        <v>999000</v>
      </c>
      <c r="B60" s="221"/>
      <c r="C60" s="220" t="s">
        <v>110</v>
      </c>
      <c r="D60" s="222">
        <f>SUM(D61)</f>
        <v>80000</v>
      </c>
      <c r="E60" s="222">
        <f t="shared" ref="E60:G60" si="16">SUM(E61)</f>
        <v>44549.53</v>
      </c>
      <c r="F60" s="222">
        <f t="shared" si="16"/>
        <v>60000</v>
      </c>
      <c r="G60" s="222">
        <f t="shared" si="16"/>
        <v>80000</v>
      </c>
      <c r="H60" s="222">
        <f t="shared" si="14"/>
        <v>100</v>
      </c>
      <c r="I60" s="222">
        <f t="shared" si="3"/>
        <v>133.33333333333331</v>
      </c>
      <c r="J60" s="223">
        <f>G60/G$62</f>
        <v>5.0031169418547758E-3</v>
      </c>
      <c r="K60" s="224"/>
      <c r="L60" s="10"/>
    </row>
    <row r="61" spans="1:12" ht="12">
      <c r="A61" s="221">
        <v>999999</v>
      </c>
      <c r="B61" s="82" t="s">
        <v>215</v>
      </c>
      <c r="C61" s="221" t="s">
        <v>111</v>
      </c>
      <c r="D61" s="225">
        <f>'Tab C'!H167</f>
        <v>80000</v>
      </c>
      <c r="E61" s="225">
        <f>'Tab C'!I167</f>
        <v>44549.53</v>
      </c>
      <c r="F61" s="225">
        <f>'Tab C'!J167</f>
        <v>60000</v>
      </c>
      <c r="G61" s="225">
        <f>'Tab C'!K167</f>
        <v>80000</v>
      </c>
      <c r="H61" s="225">
        <f t="shared" si="14"/>
        <v>100</v>
      </c>
      <c r="I61" s="222">
        <f t="shared" si="3"/>
        <v>133.33333333333331</v>
      </c>
      <c r="J61" s="226">
        <f>G61/G$62</f>
        <v>5.0031169418547758E-3</v>
      </c>
      <c r="K61" s="219"/>
      <c r="L61" s="9"/>
    </row>
    <row r="62" spans="1:12" ht="12">
      <c r="A62" s="220"/>
      <c r="B62" s="221"/>
      <c r="C62" s="220" t="s">
        <v>112</v>
      </c>
      <c r="D62" s="222">
        <f>D10+D48+D60</f>
        <v>14548356</v>
      </c>
      <c r="E62" s="222">
        <f>E10+E48+E60</f>
        <v>6312170.1500000004</v>
      </c>
      <c r="F62" s="222">
        <f t="shared" ref="F62:G62" si="17">F10+F48+F60</f>
        <v>10787499.09</v>
      </c>
      <c r="G62" s="222">
        <f t="shared" si="17"/>
        <v>15990032</v>
      </c>
      <c r="H62" s="222">
        <f t="shared" si="14"/>
        <v>109.90954579335288</v>
      </c>
      <c r="I62" s="222">
        <f t="shared" si="3"/>
        <v>148.22742385974098</v>
      </c>
      <c r="J62" s="223">
        <f>G62/G$62</f>
        <v>1</v>
      </c>
      <c r="K62" s="224"/>
      <c r="L62" s="10"/>
    </row>
    <row r="63" spans="1:12" ht="11.4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</row>
    <row r="64" spans="1:12" ht="11.4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</row>
  </sheetData>
  <mergeCells count="5">
    <mergeCell ref="A1:J1"/>
    <mergeCell ref="A2:J2"/>
    <mergeCell ref="A3:J3"/>
    <mergeCell ref="A4:J4"/>
    <mergeCell ref="A5:J5"/>
  </mergeCells>
  <pageMargins left="0.43307086614173229" right="0.43307086614173229" top="0.27559055118110237" bottom="0.74803149606299213" header="0.31496062992125984" footer="0.31496062992125984"/>
  <pageSetup paperSize="9" firstPageNumber="5" orientation="landscape" useFirstPageNumber="1" horizontalDpi="300" verticalDpi="300" r:id="rId1"/>
  <headerFoot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1"/>
  <sheetViews>
    <sheetView topLeftCell="A119" workbookViewId="0">
      <selection activeCell="B10" sqref="B10"/>
    </sheetView>
  </sheetViews>
  <sheetFormatPr defaultColWidth="9.109375" defaultRowHeight="10.199999999999999"/>
  <cols>
    <col min="1" max="1" width="9.109375" style="4"/>
    <col min="2" max="2" width="45.33203125" style="4" customWidth="1"/>
    <col min="3" max="3" width="12.109375" style="4" customWidth="1"/>
    <col min="4" max="4" width="11.44140625" style="4" customWidth="1"/>
    <col min="5" max="5" width="12.6640625" style="4" customWidth="1"/>
    <col min="6" max="6" width="12.109375" style="4" customWidth="1"/>
    <col min="7" max="8" width="6.6640625" style="4" customWidth="1"/>
    <col min="9" max="9" width="7.6640625" style="4" customWidth="1"/>
    <col min="10" max="10" width="7.88671875" style="4" customWidth="1"/>
    <col min="11" max="16384" width="9.109375" style="4"/>
  </cols>
  <sheetData>
    <row r="1" spans="1:11" ht="12">
      <c r="A1" s="151" t="s">
        <v>449</v>
      </c>
      <c r="B1" s="151"/>
      <c r="C1" s="151"/>
      <c r="D1" s="151"/>
      <c r="E1" s="151"/>
      <c r="F1" s="151"/>
      <c r="G1" s="151"/>
      <c r="H1" s="151"/>
      <c r="I1" s="152"/>
      <c r="J1" s="153"/>
      <c r="K1" s="12"/>
    </row>
    <row r="2" spans="1:11" ht="12">
      <c r="A2" s="151"/>
      <c r="B2" s="151"/>
      <c r="C2" s="151"/>
      <c r="D2" s="151"/>
      <c r="E2" s="151"/>
      <c r="F2" s="151"/>
      <c r="G2" s="151"/>
      <c r="H2" s="151"/>
      <c r="I2" s="152"/>
      <c r="J2" s="151"/>
      <c r="K2" s="12"/>
    </row>
    <row r="3" spans="1:11" ht="12">
      <c r="A3" s="154"/>
      <c r="B3" s="154"/>
      <c r="C3" s="151"/>
      <c r="D3" s="151"/>
      <c r="E3" s="308"/>
      <c r="F3" s="151"/>
      <c r="G3" s="151"/>
      <c r="H3" s="151"/>
      <c r="I3" s="153" t="s">
        <v>0</v>
      </c>
      <c r="J3" s="153"/>
      <c r="K3" s="11"/>
    </row>
    <row r="4" spans="1:11" s="37" customFormat="1" ht="36">
      <c r="A4" s="155" t="s">
        <v>188</v>
      </c>
      <c r="B4" s="156" t="s">
        <v>206</v>
      </c>
      <c r="C4" s="62" t="s">
        <v>447</v>
      </c>
      <c r="D4" s="63" t="s">
        <v>523</v>
      </c>
      <c r="E4" s="157" t="s">
        <v>549</v>
      </c>
      <c r="F4" s="62" t="s">
        <v>448</v>
      </c>
      <c r="G4" s="64" t="s">
        <v>554</v>
      </c>
      <c r="H4" s="64" t="s">
        <v>555</v>
      </c>
      <c r="I4" s="62" t="s">
        <v>3</v>
      </c>
      <c r="J4" s="157"/>
      <c r="K4" s="36"/>
    </row>
    <row r="5" spans="1:11" ht="11.4">
      <c r="A5" s="158">
        <v>1</v>
      </c>
      <c r="B5" s="159">
        <v>2</v>
      </c>
      <c r="C5" s="160">
        <v>3</v>
      </c>
      <c r="D5" s="161">
        <v>4</v>
      </c>
      <c r="E5" s="161">
        <v>5</v>
      </c>
      <c r="F5" s="160">
        <v>6</v>
      </c>
      <c r="G5" s="160">
        <v>7</v>
      </c>
      <c r="H5" s="160">
        <v>8</v>
      </c>
      <c r="I5" s="160">
        <v>9</v>
      </c>
      <c r="J5" s="162"/>
      <c r="K5" s="13"/>
    </row>
    <row r="6" spans="1:11" ht="22.8">
      <c r="A6" s="163" t="s">
        <v>495</v>
      </c>
      <c r="B6" s="164" t="s">
        <v>488</v>
      </c>
      <c r="C6" s="165">
        <f>'Tab C'!H34</f>
        <v>547094</v>
      </c>
      <c r="D6" s="165">
        <f>'Tab C'!I34</f>
        <v>352875.97</v>
      </c>
      <c r="E6" s="165">
        <f>'Tab C'!J34</f>
        <v>523331.6</v>
      </c>
      <c r="F6" s="165">
        <f>'Tab C'!K34</f>
        <v>549108</v>
      </c>
      <c r="G6" s="317">
        <f>F6/C6*100</f>
        <v>100.36812686668104</v>
      </c>
      <c r="H6" s="316">
        <f>F6/E6</f>
        <v>1.0492544306516174</v>
      </c>
      <c r="I6" s="166">
        <f>F6/F$13</f>
        <v>3.43406442213499E-2</v>
      </c>
      <c r="J6" s="167"/>
      <c r="K6" s="14"/>
    </row>
    <row r="7" spans="1:11" ht="22.8">
      <c r="A7" s="163" t="s">
        <v>496</v>
      </c>
      <c r="B7" s="164" t="s">
        <v>489</v>
      </c>
      <c r="C7" s="165">
        <f>'Tab C'!H168</f>
        <v>5889782</v>
      </c>
      <c r="D7" s="165">
        <f>'Tab C'!I168</f>
        <v>2753732.3300000005</v>
      </c>
      <c r="E7" s="165">
        <f>'Tab C'!J168</f>
        <v>4867817.51</v>
      </c>
      <c r="F7" s="165">
        <f>'Tab C'!K168</f>
        <v>6353460</v>
      </c>
      <c r="G7" s="318">
        <f t="shared" ref="G7:G13" si="0">F7/C7*100</f>
        <v>107.87258339952142</v>
      </c>
      <c r="H7" s="316">
        <f t="shared" ref="H7:H13" si="1">F7/E7</f>
        <v>1.3051968334778434</v>
      </c>
      <c r="I7" s="166">
        <f t="shared" ref="I7:I13" si="2">F7/F$13</f>
        <v>0.39733879206745804</v>
      </c>
      <c r="J7" s="167"/>
      <c r="K7" s="14"/>
    </row>
    <row r="8" spans="1:11" ht="22.8">
      <c r="A8" s="163" t="s">
        <v>497</v>
      </c>
      <c r="B8" s="164" t="s">
        <v>490</v>
      </c>
      <c r="C8" s="165">
        <f>'Tab C'!H223</f>
        <v>1664409</v>
      </c>
      <c r="D8" s="165">
        <f>'Tab C'!I223</f>
        <v>710610.19</v>
      </c>
      <c r="E8" s="165">
        <f>'Tab C'!J223</f>
        <v>1516991.23</v>
      </c>
      <c r="F8" s="165">
        <f>'Tab C'!K223</f>
        <v>1755851</v>
      </c>
      <c r="G8" s="319">
        <f t="shared" si="0"/>
        <v>105.49396212108924</v>
      </c>
      <c r="H8" s="316">
        <f t="shared" si="1"/>
        <v>1.1574562629475451</v>
      </c>
      <c r="I8" s="166">
        <f t="shared" si="2"/>
        <v>0.10980909856840812</v>
      </c>
      <c r="J8" s="167"/>
      <c r="K8" s="14"/>
    </row>
    <row r="9" spans="1:11" ht="22.8">
      <c r="A9" s="163" t="s">
        <v>498</v>
      </c>
      <c r="B9" s="169" t="s">
        <v>491</v>
      </c>
      <c r="C9" s="165">
        <f>'Tab C'!H250</f>
        <v>634542</v>
      </c>
      <c r="D9" s="165">
        <f>'Tab C'!I250</f>
        <v>390205.2</v>
      </c>
      <c r="E9" s="165">
        <f>'Tab C'!J250</f>
        <v>510930</v>
      </c>
      <c r="F9" s="165">
        <f>'Tab C'!K250</f>
        <v>857400</v>
      </c>
      <c r="G9" s="320">
        <f t="shared" si="0"/>
        <v>135.12107945573342</v>
      </c>
      <c r="H9" s="316">
        <f t="shared" si="1"/>
        <v>1.6781163760201985</v>
      </c>
      <c r="I9" s="166">
        <f t="shared" si="2"/>
        <v>5.3620905824328553E-2</v>
      </c>
      <c r="J9" s="167"/>
      <c r="K9" s="14"/>
    </row>
    <row r="10" spans="1:11" ht="22.8">
      <c r="A10" s="163" t="s">
        <v>499</v>
      </c>
      <c r="B10" s="168" t="s">
        <v>492</v>
      </c>
      <c r="C10" s="165">
        <f>'Tab C'!H295</f>
        <v>1198748</v>
      </c>
      <c r="D10" s="165">
        <f>'Tab C'!I295</f>
        <v>746958.43999999983</v>
      </c>
      <c r="E10" s="165">
        <f>'Tab C'!J295</f>
        <v>1111796.6499999999</v>
      </c>
      <c r="F10" s="165">
        <f>'Tab C'!K295</f>
        <v>1277961</v>
      </c>
      <c r="G10" s="320">
        <f t="shared" si="0"/>
        <v>106.60797765668848</v>
      </c>
      <c r="H10" s="316">
        <f t="shared" si="1"/>
        <v>1.1494557030730397</v>
      </c>
      <c r="I10" s="166">
        <f t="shared" si="2"/>
        <v>7.9922354126620881E-2</v>
      </c>
      <c r="J10" s="167"/>
      <c r="K10" s="14"/>
    </row>
    <row r="11" spans="1:11" ht="22.8">
      <c r="A11" s="163" t="s">
        <v>500</v>
      </c>
      <c r="B11" s="164" t="s">
        <v>493</v>
      </c>
      <c r="C11" s="165">
        <f>'Tab C'!H365</f>
        <v>4523086</v>
      </c>
      <c r="D11" s="165">
        <f>'Tab C'!I365</f>
        <v>1311848.5199999998</v>
      </c>
      <c r="E11" s="165">
        <f>'Tab C'!J365</f>
        <v>2192796</v>
      </c>
      <c r="F11" s="165">
        <f>'Tab C'!K365</f>
        <v>5089032</v>
      </c>
      <c r="G11" s="320">
        <f t="shared" si="0"/>
        <v>112.51238645473467</v>
      </c>
      <c r="H11" s="316">
        <f t="shared" si="1"/>
        <v>2.3207959153519071</v>
      </c>
      <c r="I11" s="166">
        <f t="shared" si="2"/>
        <v>0.31826277771051364</v>
      </c>
      <c r="J11" s="167"/>
      <c r="K11" s="14"/>
    </row>
    <row r="12" spans="1:11" ht="22.8">
      <c r="A12" s="163" t="s">
        <v>501</v>
      </c>
      <c r="B12" s="169" t="s">
        <v>494</v>
      </c>
      <c r="C12" s="165">
        <f>'Tab C'!H388</f>
        <v>90695</v>
      </c>
      <c r="D12" s="165">
        <f>'Tab C'!I388</f>
        <v>45939.500000000007</v>
      </c>
      <c r="E12" s="165">
        <f>'Tab C'!J388</f>
        <v>63836.1</v>
      </c>
      <c r="F12" s="165">
        <f>'Tab C'!K388</f>
        <v>107220</v>
      </c>
      <c r="G12" s="320">
        <f t="shared" si="0"/>
        <v>118.22040906334416</v>
      </c>
      <c r="H12" s="316">
        <f t="shared" si="1"/>
        <v>1.6796138861866561</v>
      </c>
      <c r="I12" s="166">
        <f t="shared" si="2"/>
        <v>6.7054274813208633E-3</v>
      </c>
      <c r="J12" s="167"/>
      <c r="K12" s="14"/>
    </row>
    <row r="13" spans="1:11" ht="12">
      <c r="A13" s="170"/>
      <c r="B13" s="171" t="s">
        <v>189</v>
      </c>
      <c r="C13" s="172">
        <f>SUM(C6:C12)</f>
        <v>14548356</v>
      </c>
      <c r="D13" s="172">
        <f>SUM(D6:D12)</f>
        <v>6312170.1499999994</v>
      </c>
      <c r="E13" s="172">
        <f t="shared" ref="E13:F13" si="3">SUM(E6:E12)</f>
        <v>10787499.09</v>
      </c>
      <c r="F13" s="172">
        <f t="shared" si="3"/>
        <v>15990032</v>
      </c>
      <c r="G13" s="321">
        <f t="shared" si="0"/>
        <v>109.90954579335288</v>
      </c>
      <c r="H13" s="316">
        <f t="shared" si="1"/>
        <v>1.4822742385974097</v>
      </c>
      <c r="I13" s="173">
        <f t="shared" si="2"/>
        <v>1</v>
      </c>
      <c r="J13" s="174"/>
      <c r="K13" s="15"/>
    </row>
    <row r="14" spans="1:11" ht="11.4">
      <c r="A14" s="175"/>
      <c r="B14" s="175"/>
      <c r="C14" s="176"/>
      <c r="D14" s="176"/>
      <c r="E14" s="176"/>
      <c r="F14" s="176"/>
      <c r="G14" s="176"/>
      <c r="H14" s="176"/>
      <c r="I14" s="176"/>
      <c r="J14" s="177"/>
      <c r="K14" s="9"/>
    </row>
    <row r="15" spans="1:11">
      <c r="A15" s="6"/>
      <c r="B15" s="6"/>
      <c r="C15" s="16"/>
      <c r="D15" s="16"/>
      <c r="E15" s="16"/>
      <c r="F15" s="16"/>
      <c r="G15" s="16"/>
      <c r="H15" s="16"/>
      <c r="I15" s="16"/>
      <c r="J15" s="17"/>
      <c r="K15" s="9"/>
    </row>
    <row r="16" spans="1:11">
      <c r="A16" s="6"/>
      <c r="B16" s="6"/>
      <c r="C16" s="16"/>
      <c r="D16" s="16"/>
      <c r="E16" s="16"/>
      <c r="F16" s="16"/>
      <c r="G16" s="16"/>
      <c r="H16" s="16"/>
      <c r="I16" s="16"/>
      <c r="J16" s="17"/>
      <c r="K16" s="9"/>
    </row>
    <row r="17" spans="1:11">
      <c r="A17" s="18"/>
      <c r="B17" s="18"/>
      <c r="C17" s="16"/>
      <c r="D17" s="16"/>
      <c r="E17" s="16"/>
      <c r="F17" s="16"/>
      <c r="G17" s="16"/>
      <c r="H17" s="16"/>
      <c r="I17" s="16"/>
      <c r="J17" s="17"/>
      <c r="K17" s="9"/>
    </row>
    <row r="18" spans="1:11">
      <c r="A18" s="5"/>
      <c r="B18" s="5"/>
      <c r="C18" s="19"/>
      <c r="D18" s="19"/>
      <c r="E18" s="19"/>
      <c r="F18" s="19"/>
      <c r="G18" s="19"/>
      <c r="H18" s="19"/>
      <c r="I18" s="19"/>
      <c r="J18" s="20"/>
      <c r="K18" s="10"/>
    </row>
    <row r="19" spans="1:11">
      <c r="A19" s="5"/>
      <c r="B19" s="5"/>
      <c r="C19" s="19"/>
      <c r="D19" s="19"/>
      <c r="E19" s="19"/>
      <c r="F19" s="19"/>
      <c r="G19" s="19"/>
      <c r="H19" s="19"/>
      <c r="I19" s="19"/>
      <c r="J19" s="20"/>
      <c r="K19" s="10"/>
    </row>
    <row r="20" spans="1:11">
      <c r="A20" s="6"/>
      <c r="B20" s="6"/>
      <c r="C20" s="16"/>
      <c r="D20" s="16"/>
      <c r="E20" s="16"/>
      <c r="F20" s="16"/>
      <c r="G20" s="16"/>
      <c r="H20" s="16"/>
      <c r="I20" s="19"/>
      <c r="J20" s="17"/>
      <c r="K20" s="9"/>
    </row>
    <row r="21" spans="1:11">
      <c r="A21" s="6"/>
      <c r="B21" s="6"/>
      <c r="C21" s="16"/>
      <c r="D21" s="16"/>
      <c r="E21" s="16"/>
      <c r="F21" s="16"/>
      <c r="G21" s="16"/>
      <c r="H21" s="16"/>
      <c r="I21" s="19"/>
      <c r="J21" s="17"/>
      <c r="K21" s="9"/>
    </row>
    <row r="22" spans="1:11">
      <c r="A22" s="6"/>
      <c r="B22" s="6"/>
      <c r="C22" s="16"/>
      <c r="D22" s="16"/>
      <c r="E22" s="16"/>
      <c r="F22" s="16"/>
      <c r="G22" s="16"/>
      <c r="H22" s="16"/>
      <c r="I22" s="19"/>
      <c r="J22" s="17"/>
      <c r="K22" s="9"/>
    </row>
    <row r="23" spans="1:11">
      <c r="A23" s="6"/>
      <c r="B23" s="6"/>
      <c r="C23" s="16"/>
      <c r="D23" s="16"/>
      <c r="E23" s="16"/>
      <c r="F23" s="16"/>
      <c r="G23" s="16"/>
      <c r="H23" s="16"/>
      <c r="I23" s="19"/>
      <c r="J23" s="17"/>
      <c r="K23" s="10"/>
    </row>
    <row r="24" spans="1:11">
      <c r="A24" s="6"/>
      <c r="B24" s="6"/>
      <c r="C24" s="16"/>
      <c r="D24" s="16"/>
      <c r="E24" s="16"/>
      <c r="F24" s="16"/>
      <c r="G24" s="16"/>
      <c r="H24" s="16"/>
      <c r="I24" s="19"/>
      <c r="J24" s="17"/>
      <c r="K24" s="10"/>
    </row>
    <row r="25" spans="1:11">
      <c r="A25" s="5"/>
      <c r="B25" s="5"/>
      <c r="C25" s="19"/>
      <c r="D25" s="19"/>
      <c r="E25" s="19"/>
      <c r="F25" s="19"/>
      <c r="G25" s="19"/>
      <c r="H25" s="19"/>
      <c r="I25" s="19"/>
      <c r="J25" s="20"/>
      <c r="K25" s="10"/>
    </row>
    <row r="26" spans="1:11">
      <c r="A26" s="6"/>
      <c r="B26" s="6"/>
      <c r="C26" s="16"/>
      <c r="D26" s="16"/>
      <c r="E26" s="16"/>
      <c r="F26" s="16"/>
      <c r="G26" s="16"/>
      <c r="H26" s="16"/>
      <c r="I26" s="16"/>
      <c r="J26" s="17"/>
      <c r="K26" s="10"/>
    </row>
    <row r="27" spans="1:11">
      <c r="A27" s="6"/>
      <c r="B27" s="18"/>
      <c r="C27" s="16"/>
      <c r="D27" s="16"/>
      <c r="E27" s="16"/>
      <c r="F27" s="16"/>
      <c r="G27" s="16"/>
      <c r="H27" s="16"/>
      <c r="I27" s="16"/>
      <c r="J27" s="17"/>
      <c r="K27" s="10"/>
    </row>
    <row r="28" spans="1:11">
      <c r="A28" s="6"/>
      <c r="B28" s="6"/>
      <c r="C28" s="16"/>
      <c r="D28" s="16"/>
      <c r="E28" s="16"/>
      <c r="F28" s="16"/>
      <c r="G28" s="16"/>
      <c r="H28" s="16"/>
      <c r="I28" s="16"/>
      <c r="J28" s="17"/>
      <c r="K28" s="10"/>
    </row>
    <row r="29" spans="1:11">
      <c r="A29" s="6"/>
      <c r="B29" s="6"/>
      <c r="C29" s="16"/>
      <c r="D29" s="16"/>
      <c r="E29" s="16"/>
      <c r="F29" s="16"/>
      <c r="G29" s="16"/>
      <c r="H29" s="16"/>
      <c r="I29" s="16"/>
      <c r="J29" s="17"/>
      <c r="K29" s="9"/>
    </row>
    <row r="30" spans="1:11">
      <c r="A30" s="6"/>
      <c r="B30" s="6"/>
      <c r="C30" s="16"/>
      <c r="D30" s="16"/>
      <c r="E30" s="16"/>
      <c r="F30" s="16"/>
      <c r="G30" s="16"/>
      <c r="H30" s="16"/>
      <c r="I30" s="16"/>
      <c r="J30" s="17"/>
      <c r="K30" s="9"/>
    </row>
    <row r="31" spans="1:11">
      <c r="A31" s="5"/>
      <c r="B31" s="5"/>
      <c r="C31" s="19"/>
      <c r="D31" s="19"/>
      <c r="E31" s="19"/>
      <c r="F31" s="19"/>
      <c r="G31" s="19"/>
      <c r="H31" s="19"/>
      <c r="I31" s="19"/>
      <c r="J31" s="20"/>
      <c r="K31" s="10"/>
    </row>
    <row r="32" spans="1:11">
      <c r="A32" s="6"/>
      <c r="B32" s="6"/>
      <c r="C32" s="16"/>
      <c r="D32" s="16"/>
      <c r="E32" s="16"/>
      <c r="F32" s="16"/>
      <c r="G32" s="16"/>
      <c r="H32" s="16"/>
      <c r="I32" s="16"/>
      <c r="J32" s="17"/>
      <c r="K32" s="9"/>
    </row>
    <row r="33" spans="1:11">
      <c r="A33" s="6"/>
      <c r="B33" s="6"/>
      <c r="C33" s="16"/>
      <c r="D33" s="16"/>
      <c r="E33" s="16"/>
      <c r="F33" s="16"/>
      <c r="G33" s="16"/>
      <c r="H33" s="16"/>
      <c r="I33" s="16"/>
      <c r="J33" s="17"/>
      <c r="K33" s="9"/>
    </row>
    <row r="34" spans="1:11">
      <c r="A34" s="6"/>
      <c r="B34" s="6"/>
      <c r="C34" s="16"/>
      <c r="D34" s="16"/>
      <c r="E34" s="16"/>
      <c r="F34" s="16"/>
      <c r="G34" s="16"/>
      <c r="H34" s="16"/>
      <c r="I34" s="16"/>
      <c r="J34" s="17"/>
      <c r="K34" s="9"/>
    </row>
    <row r="35" spans="1:11">
      <c r="A35" s="6"/>
      <c r="B35" s="21"/>
      <c r="C35" s="16"/>
      <c r="D35" s="16"/>
      <c r="E35" s="16"/>
      <c r="F35" s="16"/>
      <c r="G35" s="16"/>
      <c r="H35" s="16"/>
      <c r="I35" s="16"/>
      <c r="J35" s="17"/>
      <c r="K35" s="9"/>
    </row>
    <row r="36" spans="1:11">
      <c r="A36" s="6"/>
      <c r="B36" s="6"/>
      <c r="C36" s="16"/>
      <c r="D36" s="16"/>
      <c r="E36" s="16"/>
      <c r="F36" s="16"/>
      <c r="G36" s="16"/>
      <c r="H36" s="16"/>
      <c r="I36" s="16"/>
      <c r="J36" s="17"/>
      <c r="K36" s="9"/>
    </row>
    <row r="37" spans="1:11">
      <c r="A37" s="5"/>
      <c r="B37" s="5"/>
      <c r="C37" s="19"/>
      <c r="D37" s="19"/>
      <c r="E37" s="19"/>
      <c r="F37" s="19"/>
      <c r="G37" s="19"/>
      <c r="H37" s="19"/>
      <c r="I37" s="19"/>
      <c r="J37" s="20"/>
      <c r="K37" s="10"/>
    </row>
    <row r="38" spans="1:11">
      <c r="A38" s="6"/>
      <c r="B38" s="6"/>
      <c r="C38" s="16"/>
      <c r="D38" s="16"/>
      <c r="E38" s="16"/>
      <c r="F38" s="16"/>
      <c r="G38" s="16"/>
      <c r="H38" s="16"/>
      <c r="I38" s="16"/>
      <c r="J38" s="17"/>
      <c r="K38" s="9"/>
    </row>
    <row r="39" spans="1:11">
      <c r="A39" s="6"/>
      <c r="B39" s="6"/>
      <c r="C39" s="16"/>
      <c r="D39" s="16"/>
      <c r="E39" s="16"/>
      <c r="F39" s="16"/>
      <c r="G39" s="16"/>
      <c r="H39" s="16"/>
      <c r="I39" s="16"/>
      <c r="J39" s="17"/>
      <c r="K39" s="9"/>
    </row>
    <row r="40" spans="1:11">
      <c r="A40" s="6"/>
      <c r="B40" s="6"/>
      <c r="C40" s="16"/>
      <c r="D40" s="16"/>
      <c r="E40" s="16"/>
      <c r="F40" s="16"/>
      <c r="G40" s="16"/>
      <c r="H40" s="16"/>
      <c r="I40" s="16"/>
      <c r="J40" s="17"/>
      <c r="K40" s="9"/>
    </row>
    <row r="41" spans="1:11">
      <c r="A41" s="6"/>
      <c r="B41" s="6"/>
      <c r="C41" s="16"/>
      <c r="D41" s="16"/>
      <c r="E41" s="16"/>
      <c r="F41" s="16"/>
      <c r="G41" s="16"/>
      <c r="H41" s="16"/>
      <c r="I41" s="16"/>
      <c r="J41" s="17"/>
      <c r="K41" s="9"/>
    </row>
    <row r="42" spans="1:11">
      <c r="A42" s="6"/>
      <c r="B42" s="6"/>
      <c r="C42" s="16"/>
      <c r="D42" s="16"/>
      <c r="E42" s="16"/>
      <c r="F42" s="16"/>
      <c r="G42" s="16"/>
      <c r="H42" s="16"/>
      <c r="I42" s="16"/>
      <c r="J42" s="17"/>
      <c r="K42" s="9"/>
    </row>
    <row r="43" spans="1:11">
      <c r="A43" s="6"/>
      <c r="B43" s="6"/>
      <c r="C43" s="16"/>
      <c r="D43" s="16"/>
      <c r="E43" s="16"/>
      <c r="F43" s="16"/>
      <c r="G43" s="16"/>
      <c r="H43" s="16"/>
      <c r="I43" s="16"/>
      <c r="J43" s="17"/>
      <c r="K43" s="9"/>
    </row>
    <row r="44" spans="1:11">
      <c r="A44" s="6"/>
      <c r="B44" s="6"/>
      <c r="C44" s="16"/>
      <c r="D44" s="16"/>
      <c r="E44" s="16"/>
      <c r="F44" s="16"/>
      <c r="G44" s="16"/>
      <c r="H44" s="16"/>
      <c r="I44" s="16"/>
      <c r="J44" s="17"/>
      <c r="K44" s="9"/>
    </row>
    <row r="45" spans="1:11">
      <c r="A45" s="6"/>
      <c r="B45" s="6"/>
      <c r="C45" s="16"/>
      <c r="D45" s="16"/>
      <c r="E45" s="16"/>
      <c r="F45" s="16"/>
      <c r="G45" s="16"/>
      <c r="H45" s="16"/>
      <c r="I45" s="16"/>
      <c r="J45" s="17"/>
      <c r="K45" s="9"/>
    </row>
    <row r="46" spans="1:11">
      <c r="A46" s="6"/>
      <c r="B46" s="6"/>
      <c r="C46" s="16"/>
      <c r="D46" s="16"/>
      <c r="E46" s="16"/>
      <c r="F46" s="16"/>
      <c r="G46" s="16"/>
      <c r="H46" s="16"/>
      <c r="I46" s="16"/>
      <c r="J46" s="17"/>
      <c r="K46" s="9"/>
    </row>
    <row r="47" spans="1:11">
      <c r="A47" s="6"/>
      <c r="B47" s="18"/>
      <c r="C47" s="16"/>
      <c r="D47" s="16"/>
      <c r="E47" s="16"/>
      <c r="F47" s="16"/>
      <c r="G47" s="16"/>
      <c r="H47" s="16"/>
      <c r="I47" s="16"/>
      <c r="J47" s="17"/>
      <c r="K47" s="9"/>
    </row>
    <row r="48" spans="1:11">
      <c r="A48" s="5"/>
      <c r="B48" s="5"/>
      <c r="C48" s="19"/>
      <c r="D48" s="19"/>
      <c r="E48" s="19"/>
      <c r="F48" s="19"/>
      <c r="G48" s="19"/>
      <c r="H48" s="19"/>
      <c r="I48" s="19"/>
      <c r="J48" s="20"/>
      <c r="K48" s="10"/>
    </row>
    <row r="49" spans="1:11">
      <c r="A49" s="6"/>
      <c r="B49" s="6"/>
      <c r="C49" s="16"/>
      <c r="D49" s="16"/>
      <c r="E49" s="16"/>
      <c r="F49" s="16"/>
      <c r="G49" s="16"/>
      <c r="H49" s="16"/>
      <c r="I49" s="16"/>
      <c r="J49" s="17"/>
      <c r="K49" s="9"/>
    </row>
    <row r="50" spans="1:11">
      <c r="A50" s="6"/>
      <c r="B50" s="6"/>
      <c r="C50" s="16"/>
      <c r="D50" s="16"/>
      <c r="E50" s="16"/>
      <c r="F50" s="16"/>
      <c r="G50" s="16"/>
      <c r="H50" s="16"/>
      <c r="I50" s="16"/>
      <c r="J50" s="17"/>
      <c r="K50" s="9"/>
    </row>
    <row r="51" spans="1:11">
      <c r="A51" s="6"/>
      <c r="B51" s="6"/>
      <c r="C51" s="16"/>
      <c r="D51" s="16"/>
      <c r="E51" s="16"/>
      <c r="F51" s="16"/>
      <c r="G51" s="16"/>
      <c r="H51" s="16"/>
      <c r="I51" s="16"/>
      <c r="J51" s="17"/>
      <c r="K51" s="9"/>
    </row>
    <row r="52" spans="1:11">
      <c r="A52" s="6"/>
      <c r="B52" s="6"/>
      <c r="C52" s="16"/>
      <c r="D52" s="16"/>
      <c r="E52" s="16"/>
      <c r="F52" s="16"/>
      <c r="G52" s="16"/>
      <c r="H52" s="16"/>
      <c r="I52" s="16"/>
      <c r="J52" s="17"/>
      <c r="K52" s="9"/>
    </row>
    <row r="53" spans="1:11">
      <c r="A53" s="5"/>
      <c r="B53" s="5"/>
      <c r="C53" s="19"/>
      <c r="D53" s="19"/>
      <c r="E53" s="19"/>
      <c r="F53" s="19"/>
      <c r="G53" s="19"/>
      <c r="H53" s="19"/>
      <c r="I53" s="19"/>
      <c r="J53" s="20"/>
      <c r="K53" s="10"/>
    </row>
    <row r="54" spans="1:11">
      <c r="A54" s="6"/>
      <c r="B54" s="6"/>
      <c r="C54" s="16"/>
      <c r="D54" s="16"/>
      <c r="E54" s="16"/>
      <c r="F54" s="16"/>
      <c r="G54" s="16"/>
      <c r="H54" s="16"/>
      <c r="I54" s="16"/>
      <c r="J54" s="17"/>
      <c r="K54" s="9"/>
    </row>
    <row r="55" spans="1:11">
      <c r="A55" s="5"/>
      <c r="B55" s="5"/>
      <c r="C55" s="19"/>
      <c r="D55" s="19"/>
      <c r="E55" s="19"/>
      <c r="F55" s="19"/>
      <c r="G55" s="19"/>
      <c r="H55" s="19"/>
      <c r="I55" s="19"/>
      <c r="J55" s="20"/>
      <c r="K55" s="10"/>
    </row>
    <row r="56" spans="1:11">
      <c r="A56" s="6"/>
      <c r="B56" s="6"/>
      <c r="C56" s="16"/>
      <c r="D56" s="16"/>
      <c r="E56" s="16"/>
      <c r="F56" s="16"/>
      <c r="G56" s="16"/>
      <c r="H56" s="16"/>
      <c r="I56" s="16"/>
      <c r="J56" s="17"/>
      <c r="K56" s="10"/>
    </row>
    <row r="57" spans="1:11">
      <c r="A57" s="6"/>
      <c r="B57" s="6"/>
      <c r="C57" s="16"/>
      <c r="D57" s="16"/>
      <c r="E57" s="16"/>
      <c r="F57" s="16"/>
      <c r="G57" s="16"/>
      <c r="H57" s="16"/>
      <c r="I57" s="16"/>
      <c r="J57" s="17"/>
      <c r="K57" s="10"/>
    </row>
    <row r="58" spans="1:11">
      <c r="A58" s="6"/>
      <c r="B58" s="21"/>
      <c r="C58" s="16"/>
      <c r="D58" s="16"/>
      <c r="E58" s="16"/>
      <c r="F58" s="16"/>
      <c r="G58" s="16"/>
      <c r="H58" s="16"/>
      <c r="I58" s="16"/>
      <c r="J58" s="17"/>
      <c r="K58" s="10"/>
    </row>
    <row r="59" spans="1:11">
      <c r="A59" s="6"/>
      <c r="B59" s="6"/>
      <c r="C59" s="16"/>
      <c r="D59" s="16"/>
      <c r="E59" s="16"/>
      <c r="F59" s="16"/>
      <c r="G59" s="16"/>
      <c r="H59" s="16"/>
      <c r="I59" s="16"/>
      <c r="J59" s="17"/>
      <c r="K59" s="10"/>
    </row>
    <row r="60" spans="1:11">
      <c r="A60" s="6"/>
      <c r="B60" s="6"/>
      <c r="C60" s="16"/>
      <c r="D60" s="16"/>
      <c r="E60" s="16"/>
      <c r="F60" s="16"/>
      <c r="G60" s="16"/>
      <c r="H60" s="16"/>
      <c r="I60" s="16"/>
      <c r="J60" s="17"/>
      <c r="K60" s="9"/>
    </row>
    <row r="61" spans="1:11">
      <c r="A61" s="6"/>
      <c r="B61" s="6"/>
      <c r="C61" s="16"/>
      <c r="D61" s="16"/>
      <c r="E61" s="16"/>
      <c r="F61" s="16"/>
      <c r="G61" s="16"/>
      <c r="H61" s="16"/>
      <c r="I61" s="16"/>
      <c r="J61" s="17"/>
      <c r="K61" s="9"/>
    </row>
    <row r="62" spans="1:11">
      <c r="A62" s="6"/>
      <c r="B62" s="21"/>
      <c r="C62" s="16"/>
      <c r="D62" s="16"/>
      <c r="E62" s="16"/>
      <c r="F62" s="16"/>
      <c r="G62" s="16"/>
      <c r="H62" s="16"/>
      <c r="I62" s="16"/>
      <c r="J62" s="17"/>
      <c r="K62" s="9"/>
    </row>
    <row r="63" spans="1:11">
      <c r="A63" s="6"/>
      <c r="B63" s="21"/>
      <c r="C63" s="16"/>
      <c r="D63" s="16"/>
      <c r="E63" s="16"/>
      <c r="F63" s="16"/>
      <c r="G63" s="16"/>
      <c r="H63" s="16"/>
      <c r="I63" s="16"/>
      <c r="J63" s="17"/>
      <c r="K63" s="9"/>
    </row>
    <row r="64" spans="1:11">
      <c r="A64" s="6"/>
      <c r="B64" s="21"/>
      <c r="C64" s="16"/>
      <c r="D64" s="16"/>
      <c r="E64" s="16"/>
      <c r="F64" s="16"/>
      <c r="G64" s="16"/>
      <c r="H64" s="16"/>
      <c r="I64" s="16"/>
      <c r="J64" s="17"/>
      <c r="K64" s="9"/>
    </row>
    <row r="65" spans="1:11">
      <c r="A65" s="6"/>
      <c r="B65" s="21"/>
      <c r="C65" s="16"/>
      <c r="D65" s="16"/>
      <c r="E65" s="16"/>
      <c r="F65" s="16"/>
      <c r="G65" s="16"/>
      <c r="H65" s="16"/>
      <c r="I65" s="16"/>
      <c r="J65" s="17"/>
      <c r="K65" s="9"/>
    </row>
    <row r="66" spans="1:11">
      <c r="A66" s="5"/>
      <c r="B66" s="5"/>
      <c r="C66" s="19"/>
      <c r="D66" s="19"/>
      <c r="E66" s="19"/>
      <c r="F66" s="19"/>
      <c r="G66" s="19"/>
      <c r="H66" s="19"/>
      <c r="I66" s="19"/>
      <c r="J66" s="20"/>
      <c r="K66" s="10"/>
    </row>
    <row r="67" spans="1:11">
      <c r="A67" s="18"/>
      <c r="B67" s="18"/>
      <c r="C67" s="16"/>
      <c r="D67" s="16"/>
      <c r="E67" s="16"/>
      <c r="F67" s="16"/>
      <c r="G67" s="16"/>
      <c r="H67" s="16"/>
      <c r="I67" s="16"/>
      <c r="J67" s="17"/>
      <c r="K67" s="10"/>
    </row>
    <row r="68" spans="1:11">
      <c r="A68" s="6"/>
      <c r="B68" s="6"/>
      <c r="C68" s="16"/>
      <c r="D68" s="16"/>
      <c r="E68" s="16"/>
      <c r="F68" s="16"/>
      <c r="G68" s="16"/>
      <c r="H68" s="16"/>
      <c r="I68" s="16"/>
      <c r="J68" s="17"/>
      <c r="K68" s="9"/>
    </row>
    <row r="69" spans="1:11">
      <c r="A69" s="6"/>
      <c r="B69" s="6"/>
      <c r="C69" s="16"/>
      <c r="D69" s="16"/>
      <c r="E69" s="16"/>
      <c r="F69" s="16"/>
      <c r="G69" s="16"/>
      <c r="H69" s="16"/>
      <c r="I69" s="16"/>
      <c r="J69" s="17"/>
      <c r="K69" s="9"/>
    </row>
    <row r="70" spans="1:11">
      <c r="A70" s="6"/>
      <c r="B70" s="6"/>
      <c r="C70" s="16"/>
      <c r="D70" s="16"/>
      <c r="E70" s="16"/>
      <c r="F70" s="16"/>
      <c r="G70" s="16"/>
      <c r="H70" s="16"/>
      <c r="I70" s="16"/>
      <c r="J70" s="17"/>
      <c r="K70" s="9"/>
    </row>
    <row r="71" spans="1:11">
      <c r="A71" s="5"/>
      <c r="B71" s="5"/>
      <c r="C71" s="19"/>
      <c r="D71" s="19"/>
      <c r="E71" s="19"/>
      <c r="F71" s="19"/>
      <c r="G71" s="19"/>
      <c r="H71" s="19"/>
      <c r="I71" s="19"/>
      <c r="J71" s="20"/>
      <c r="K71" s="10"/>
    </row>
    <row r="72" spans="1:11">
      <c r="A72" s="6"/>
      <c r="B72" s="6"/>
      <c r="C72" s="16"/>
      <c r="D72" s="16"/>
      <c r="E72" s="16"/>
      <c r="F72" s="16"/>
      <c r="G72" s="16"/>
      <c r="H72" s="16"/>
      <c r="I72" s="16"/>
      <c r="J72" s="17"/>
      <c r="K72" s="9"/>
    </row>
    <row r="73" spans="1:11">
      <c r="A73" s="6"/>
      <c r="B73" s="6"/>
      <c r="C73" s="16"/>
      <c r="D73" s="16"/>
      <c r="E73" s="16"/>
      <c r="F73" s="16"/>
      <c r="G73" s="16"/>
      <c r="H73" s="16"/>
      <c r="I73" s="16"/>
      <c r="J73" s="17"/>
      <c r="K73" s="9"/>
    </row>
    <row r="74" spans="1:11">
      <c r="A74" s="6"/>
      <c r="B74" s="6"/>
      <c r="C74" s="16"/>
      <c r="D74" s="16"/>
      <c r="E74" s="16"/>
      <c r="F74" s="16"/>
      <c r="G74" s="16"/>
      <c r="H74" s="16"/>
      <c r="I74" s="16"/>
      <c r="J74" s="17"/>
      <c r="K74" s="9"/>
    </row>
    <row r="75" spans="1:11">
      <c r="A75" s="6"/>
      <c r="B75" s="21"/>
      <c r="C75" s="16"/>
      <c r="D75" s="16"/>
      <c r="E75" s="16"/>
      <c r="F75" s="16"/>
      <c r="G75" s="16"/>
      <c r="H75" s="16"/>
      <c r="I75" s="16"/>
      <c r="J75" s="17"/>
      <c r="K75" s="9"/>
    </row>
    <row r="76" spans="1:11">
      <c r="A76" s="6"/>
      <c r="B76" s="6"/>
      <c r="C76" s="16"/>
      <c r="D76" s="16"/>
      <c r="E76" s="16"/>
      <c r="F76" s="16"/>
      <c r="G76" s="16"/>
      <c r="H76" s="16"/>
      <c r="I76" s="16"/>
      <c r="J76" s="17"/>
      <c r="K76" s="9"/>
    </row>
    <row r="77" spans="1:11">
      <c r="A77" s="6"/>
      <c r="B77" s="18"/>
      <c r="C77" s="16"/>
      <c r="D77" s="16"/>
      <c r="E77" s="16"/>
      <c r="F77" s="16"/>
      <c r="G77" s="16"/>
      <c r="H77" s="16"/>
      <c r="I77" s="16"/>
      <c r="J77" s="17"/>
      <c r="K77" s="9"/>
    </row>
    <row r="78" spans="1:11">
      <c r="A78" s="18"/>
      <c r="B78" s="22"/>
      <c r="C78" s="16"/>
      <c r="D78" s="16"/>
      <c r="E78" s="16"/>
      <c r="F78" s="16"/>
      <c r="G78" s="16"/>
      <c r="H78" s="16"/>
      <c r="I78" s="16"/>
      <c r="J78" s="17"/>
      <c r="K78" s="9"/>
    </row>
    <row r="79" spans="1:11">
      <c r="A79" s="6"/>
      <c r="B79" s="6"/>
      <c r="C79" s="16"/>
      <c r="D79" s="16"/>
      <c r="E79" s="16"/>
      <c r="F79" s="16"/>
      <c r="G79" s="16"/>
      <c r="H79" s="16"/>
      <c r="I79" s="16"/>
      <c r="J79" s="17"/>
      <c r="K79" s="9"/>
    </row>
    <row r="80" spans="1:11">
      <c r="A80" s="18"/>
      <c r="B80" s="18"/>
      <c r="C80" s="16"/>
      <c r="D80" s="16"/>
      <c r="E80" s="16"/>
      <c r="F80" s="16"/>
      <c r="G80" s="16"/>
      <c r="H80" s="16"/>
      <c r="I80" s="16"/>
      <c r="J80" s="17"/>
      <c r="K80" s="9"/>
    </row>
    <row r="81" spans="1:11">
      <c r="A81" s="18"/>
      <c r="B81" s="22"/>
      <c r="C81" s="16"/>
      <c r="D81" s="16"/>
      <c r="E81" s="16"/>
      <c r="F81" s="16"/>
      <c r="G81" s="16"/>
      <c r="H81" s="16"/>
      <c r="I81" s="16"/>
      <c r="J81" s="17"/>
      <c r="K81" s="9"/>
    </row>
    <row r="82" spans="1:11">
      <c r="A82" s="18"/>
      <c r="B82" s="18"/>
      <c r="C82" s="16"/>
      <c r="D82" s="16"/>
      <c r="E82" s="16"/>
      <c r="F82" s="16"/>
      <c r="G82" s="16"/>
      <c r="H82" s="16"/>
      <c r="I82" s="16"/>
      <c r="J82" s="17"/>
      <c r="K82" s="9"/>
    </row>
    <row r="83" spans="1:11">
      <c r="A83" s="18"/>
      <c r="B83" s="18"/>
      <c r="C83" s="16"/>
      <c r="D83" s="16"/>
      <c r="E83" s="16"/>
      <c r="F83" s="16"/>
      <c r="G83" s="16"/>
      <c r="H83" s="16"/>
      <c r="I83" s="16"/>
      <c r="J83" s="17"/>
      <c r="K83" s="9"/>
    </row>
    <row r="84" spans="1:11">
      <c r="A84" s="18"/>
      <c r="B84" s="18"/>
      <c r="C84" s="16"/>
      <c r="D84" s="16"/>
      <c r="E84" s="16"/>
      <c r="F84" s="16"/>
      <c r="G84" s="16"/>
      <c r="H84" s="16"/>
      <c r="I84" s="16"/>
      <c r="J84" s="17"/>
      <c r="K84" s="9"/>
    </row>
    <row r="85" spans="1:11">
      <c r="A85" s="6"/>
      <c r="B85" s="6"/>
      <c r="C85" s="16"/>
      <c r="D85" s="16"/>
      <c r="E85" s="16"/>
      <c r="F85" s="16"/>
      <c r="G85" s="16"/>
      <c r="H85" s="16"/>
      <c r="I85" s="16"/>
      <c r="J85" s="17"/>
      <c r="K85" s="9"/>
    </row>
    <row r="86" spans="1:11">
      <c r="A86" s="6"/>
      <c r="B86" s="21"/>
      <c r="C86" s="16"/>
      <c r="D86" s="16"/>
      <c r="E86" s="16"/>
      <c r="F86" s="16"/>
      <c r="G86" s="16"/>
      <c r="H86" s="16"/>
      <c r="I86" s="16"/>
      <c r="J86" s="17"/>
      <c r="K86" s="9"/>
    </row>
    <row r="87" spans="1:11">
      <c r="A87" s="6"/>
      <c r="B87" s="21"/>
      <c r="C87" s="16"/>
      <c r="D87" s="16"/>
      <c r="E87" s="16"/>
      <c r="F87" s="16"/>
      <c r="G87" s="16"/>
      <c r="H87" s="16"/>
      <c r="I87" s="16"/>
      <c r="J87" s="17"/>
      <c r="K87" s="10"/>
    </row>
    <row r="88" spans="1:11">
      <c r="A88" s="18"/>
      <c r="B88" s="22"/>
      <c r="C88" s="16"/>
      <c r="D88" s="16"/>
      <c r="E88" s="16"/>
      <c r="F88" s="16"/>
      <c r="G88" s="16"/>
      <c r="H88" s="16"/>
      <c r="I88" s="16"/>
      <c r="J88" s="17"/>
      <c r="K88" s="10"/>
    </row>
    <row r="89" spans="1:11">
      <c r="A89" s="6"/>
      <c r="B89" s="21"/>
      <c r="C89" s="16"/>
      <c r="D89" s="16"/>
      <c r="E89" s="16"/>
      <c r="F89" s="16"/>
      <c r="G89" s="16"/>
      <c r="H89" s="16"/>
      <c r="I89" s="16"/>
      <c r="J89" s="17"/>
      <c r="K89" s="10"/>
    </row>
    <row r="90" spans="1:11">
      <c r="A90" s="6"/>
      <c r="B90" s="21"/>
      <c r="C90" s="16"/>
      <c r="D90" s="16"/>
      <c r="E90" s="16"/>
      <c r="F90" s="16"/>
      <c r="G90" s="16"/>
      <c r="H90" s="16"/>
      <c r="I90" s="16"/>
      <c r="J90" s="17"/>
      <c r="K90" s="10"/>
    </row>
    <row r="91" spans="1:11">
      <c r="A91" s="6"/>
      <c r="B91" s="21"/>
      <c r="C91" s="16"/>
      <c r="D91" s="16"/>
      <c r="E91" s="16"/>
      <c r="F91" s="16"/>
      <c r="G91" s="16"/>
      <c r="H91" s="16"/>
      <c r="I91" s="16"/>
      <c r="J91" s="17"/>
      <c r="K91" s="10"/>
    </row>
    <row r="92" spans="1:11">
      <c r="A92" s="6"/>
      <c r="B92" s="21"/>
      <c r="C92" s="16"/>
      <c r="D92" s="16"/>
      <c r="E92" s="16"/>
      <c r="F92" s="16"/>
      <c r="G92" s="16"/>
      <c r="H92" s="16"/>
      <c r="I92" s="16"/>
      <c r="J92" s="17"/>
      <c r="K92" s="9"/>
    </row>
    <row r="93" spans="1:11">
      <c r="A93" s="6"/>
      <c r="B93" s="21"/>
      <c r="C93" s="16"/>
      <c r="D93" s="16"/>
      <c r="E93" s="16"/>
      <c r="F93" s="16"/>
      <c r="G93" s="16"/>
      <c r="H93" s="16"/>
      <c r="I93" s="16"/>
      <c r="J93" s="17"/>
      <c r="K93" s="10"/>
    </row>
    <row r="94" spans="1:11">
      <c r="A94" s="6"/>
      <c r="B94" s="22"/>
      <c r="C94" s="16"/>
      <c r="D94" s="16"/>
      <c r="E94" s="16"/>
      <c r="F94" s="16"/>
      <c r="G94" s="16"/>
      <c r="H94" s="16"/>
      <c r="I94" s="16"/>
      <c r="J94" s="17"/>
      <c r="K94" s="10"/>
    </row>
    <row r="95" spans="1:11">
      <c r="A95" s="5"/>
      <c r="B95" s="5"/>
      <c r="C95" s="19"/>
      <c r="D95" s="19"/>
      <c r="E95" s="19"/>
      <c r="F95" s="19"/>
      <c r="G95" s="19"/>
      <c r="H95" s="19"/>
      <c r="I95" s="19"/>
      <c r="J95" s="20"/>
      <c r="K95" s="10"/>
    </row>
    <row r="96" spans="1:11">
      <c r="A96" s="5"/>
      <c r="B96" s="5"/>
      <c r="C96" s="19"/>
      <c r="D96" s="19"/>
      <c r="E96" s="19"/>
      <c r="F96" s="19"/>
      <c r="G96" s="19"/>
      <c r="H96" s="19"/>
      <c r="I96" s="19"/>
      <c r="J96" s="20"/>
      <c r="K96" s="10"/>
    </row>
    <row r="97" spans="1:11">
      <c r="A97" s="6"/>
      <c r="B97" s="21"/>
      <c r="C97" s="16"/>
      <c r="D97" s="16"/>
      <c r="E97" s="16"/>
      <c r="F97" s="16"/>
      <c r="G97" s="16"/>
      <c r="H97" s="16"/>
      <c r="I97" s="16"/>
      <c r="J97" s="17"/>
      <c r="K97" s="9"/>
    </row>
    <row r="98" spans="1:11">
      <c r="A98" s="18"/>
      <c r="B98" s="18"/>
      <c r="C98" s="23"/>
      <c r="D98" s="23"/>
      <c r="E98" s="23"/>
      <c r="F98" s="23"/>
      <c r="G98" s="23"/>
      <c r="H98" s="23"/>
      <c r="I98" s="16"/>
      <c r="J98" s="17"/>
      <c r="K98" s="9"/>
    </row>
    <row r="99" spans="1:11">
      <c r="A99" s="6"/>
      <c r="B99" s="21"/>
      <c r="C99" s="16"/>
      <c r="D99" s="16"/>
      <c r="E99" s="16"/>
      <c r="F99" s="16"/>
      <c r="G99" s="16"/>
      <c r="H99" s="16"/>
      <c r="I99" s="16"/>
      <c r="J99" s="17"/>
      <c r="K99" s="9"/>
    </row>
    <row r="100" spans="1:11">
      <c r="A100" s="5"/>
      <c r="B100" s="5"/>
      <c r="C100" s="19"/>
      <c r="D100" s="19"/>
      <c r="E100" s="19"/>
      <c r="F100" s="19"/>
      <c r="G100" s="19"/>
      <c r="H100" s="19"/>
      <c r="I100" s="19"/>
      <c r="J100" s="20"/>
      <c r="K100" s="10"/>
    </row>
    <row r="101" spans="1:11">
      <c r="A101" s="6"/>
      <c r="B101" s="6"/>
      <c r="C101" s="16"/>
      <c r="D101" s="16"/>
      <c r="E101" s="16"/>
      <c r="F101" s="16"/>
      <c r="G101" s="16"/>
      <c r="H101" s="16"/>
      <c r="I101" s="16"/>
      <c r="J101" s="17"/>
      <c r="K101" s="9"/>
    </row>
    <row r="102" spans="1:11">
      <c r="A102" s="6"/>
      <c r="B102" s="6"/>
      <c r="C102" s="16"/>
      <c r="D102" s="16"/>
      <c r="E102" s="16"/>
      <c r="F102" s="16"/>
      <c r="G102" s="16"/>
      <c r="H102" s="16"/>
      <c r="I102" s="16"/>
      <c r="J102" s="17"/>
      <c r="K102" s="9"/>
    </row>
    <row r="103" spans="1:11">
      <c r="A103" s="18"/>
      <c r="B103" s="22"/>
      <c r="C103" s="16"/>
      <c r="D103" s="16"/>
      <c r="E103" s="16"/>
      <c r="F103" s="16"/>
      <c r="G103" s="16"/>
      <c r="H103" s="16"/>
      <c r="I103" s="16"/>
      <c r="J103" s="17"/>
      <c r="K103" s="9"/>
    </row>
    <row r="104" spans="1:11">
      <c r="A104" s="6"/>
      <c r="B104" s="6"/>
      <c r="C104" s="16"/>
      <c r="D104" s="16"/>
      <c r="E104" s="16"/>
      <c r="F104" s="16"/>
      <c r="G104" s="16"/>
      <c r="H104" s="16"/>
      <c r="I104" s="16"/>
      <c r="J104" s="17"/>
      <c r="K104" s="9"/>
    </row>
    <row r="105" spans="1:11">
      <c r="A105" s="6"/>
      <c r="B105" s="21"/>
      <c r="C105" s="16"/>
      <c r="D105" s="16"/>
      <c r="E105" s="16"/>
      <c r="F105" s="16"/>
      <c r="G105" s="16"/>
      <c r="H105" s="16"/>
      <c r="I105" s="16"/>
      <c r="J105" s="17"/>
      <c r="K105" s="9"/>
    </row>
    <row r="106" spans="1:11">
      <c r="A106" s="5"/>
      <c r="B106" s="5"/>
      <c r="C106" s="19"/>
      <c r="D106" s="19"/>
      <c r="E106" s="19"/>
      <c r="F106" s="19"/>
      <c r="G106" s="19"/>
      <c r="H106" s="19"/>
      <c r="I106" s="19"/>
      <c r="J106" s="20"/>
      <c r="K106" s="10"/>
    </row>
    <row r="107" spans="1:11">
      <c r="A107" s="6"/>
      <c r="B107" s="21"/>
      <c r="C107" s="16"/>
      <c r="D107" s="16"/>
      <c r="E107" s="16"/>
      <c r="F107" s="16"/>
      <c r="G107" s="16"/>
      <c r="H107" s="16"/>
      <c r="I107" s="16"/>
      <c r="J107" s="17"/>
      <c r="K107" s="9"/>
    </row>
    <row r="108" spans="1:11">
      <c r="A108" s="24"/>
      <c r="B108" s="22"/>
      <c r="C108" s="25"/>
      <c r="D108" s="25"/>
      <c r="E108" s="25"/>
      <c r="F108" s="25"/>
      <c r="G108" s="25"/>
      <c r="H108" s="25"/>
      <c r="I108" s="16"/>
      <c r="J108" s="17"/>
      <c r="K108" s="9"/>
    </row>
    <row r="109" spans="1:11">
      <c r="A109" s="6"/>
      <c r="B109" s="6"/>
      <c r="C109" s="16"/>
      <c r="D109" s="16"/>
      <c r="E109" s="16"/>
      <c r="F109" s="16"/>
      <c r="G109" s="16"/>
      <c r="H109" s="16"/>
      <c r="I109" s="16"/>
      <c r="J109" s="17"/>
      <c r="K109" s="10"/>
    </row>
    <row r="110" spans="1:11">
      <c r="A110" s="6"/>
      <c r="B110" s="6"/>
      <c r="C110" s="16"/>
      <c r="D110" s="16"/>
      <c r="E110" s="16"/>
      <c r="F110" s="16"/>
      <c r="G110" s="16"/>
      <c r="H110" s="16"/>
      <c r="I110" s="16"/>
      <c r="J110" s="17"/>
      <c r="K110" s="9"/>
    </row>
    <row r="111" spans="1:11">
      <c r="A111" s="6"/>
      <c r="B111" s="6"/>
      <c r="C111" s="16"/>
      <c r="D111" s="16"/>
      <c r="E111" s="16"/>
      <c r="F111" s="16"/>
      <c r="G111" s="16"/>
      <c r="H111" s="16"/>
      <c r="I111" s="16"/>
      <c r="J111" s="17"/>
      <c r="K111" s="9"/>
    </row>
    <row r="112" spans="1:11">
      <c r="A112" s="6"/>
      <c r="B112" s="6"/>
      <c r="C112" s="16"/>
      <c r="D112" s="16"/>
      <c r="E112" s="16"/>
      <c r="F112" s="16"/>
      <c r="G112" s="16"/>
      <c r="H112" s="16"/>
      <c r="I112" s="16"/>
      <c r="J112" s="17"/>
      <c r="K112" s="9"/>
    </row>
    <row r="113" spans="1:11">
      <c r="A113" s="6"/>
      <c r="B113" s="22"/>
      <c r="C113" s="16"/>
      <c r="D113" s="16"/>
      <c r="E113" s="16"/>
      <c r="F113" s="16"/>
      <c r="G113" s="16"/>
      <c r="H113" s="16"/>
      <c r="I113" s="16"/>
      <c r="J113" s="17"/>
      <c r="K113" s="10"/>
    </row>
    <row r="114" spans="1:11">
      <c r="A114" s="6"/>
      <c r="B114" s="21"/>
      <c r="C114" s="16"/>
      <c r="D114" s="16"/>
      <c r="E114" s="16"/>
      <c r="F114" s="16"/>
      <c r="G114" s="16"/>
      <c r="H114" s="16"/>
      <c r="I114" s="16"/>
      <c r="J114" s="17"/>
      <c r="K114" s="10"/>
    </row>
    <row r="115" spans="1:11">
      <c r="A115" s="6"/>
      <c r="B115" s="6"/>
      <c r="C115" s="16"/>
      <c r="D115" s="16"/>
      <c r="E115" s="16"/>
      <c r="F115" s="16"/>
      <c r="G115" s="16"/>
      <c r="H115" s="16"/>
      <c r="I115" s="16"/>
      <c r="J115" s="17"/>
      <c r="K115" s="10"/>
    </row>
    <row r="116" spans="1:11">
      <c r="A116" s="6"/>
      <c r="B116" s="6"/>
      <c r="C116" s="16"/>
      <c r="D116" s="16"/>
      <c r="E116" s="16"/>
      <c r="F116" s="16"/>
      <c r="G116" s="16"/>
      <c r="H116" s="16"/>
      <c r="I116" s="16"/>
      <c r="J116" s="17"/>
      <c r="K116" s="10"/>
    </row>
    <row r="117" spans="1:11">
      <c r="A117" s="6"/>
      <c r="B117" s="6"/>
      <c r="C117" s="16"/>
      <c r="D117" s="16"/>
      <c r="E117" s="16"/>
      <c r="F117" s="16"/>
      <c r="G117" s="16"/>
      <c r="H117" s="16"/>
      <c r="I117" s="16"/>
      <c r="J117" s="17"/>
      <c r="K117" s="10"/>
    </row>
    <row r="118" spans="1:11">
      <c r="A118" s="18"/>
      <c r="B118" s="18"/>
      <c r="C118" s="16"/>
      <c r="D118" s="16"/>
      <c r="E118" s="16"/>
      <c r="F118" s="16"/>
      <c r="G118" s="16"/>
      <c r="H118" s="16"/>
      <c r="I118" s="16"/>
      <c r="J118" s="17"/>
      <c r="K118" s="10"/>
    </row>
    <row r="119" spans="1:11">
      <c r="A119" s="6"/>
      <c r="B119" s="6"/>
      <c r="C119" s="16"/>
      <c r="D119" s="16"/>
      <c r="E119" s="16"/>
      <c r="F119" s="16"/>
      <c r="G119" s="16"/>
      <c r="H119" s="16"/>
      <c r="I119" s="16"/>
      <c r="J119" s="17"/>
      <c r="K119" s="10"/>
    </row>
    <row r="120" spans="1:11">
      <c r="A120" s="6"/>
      <c r="B120" s="6"/>
      <c r="C120" s="16"/>
      <c r="D120" s="16"/>
      <c r="E120" s="16"/>
      <c r="F120" s="16"/>
      <c r="G120" s="16"/>
      <c r="H120" s="16"/>
      <c r="I120" s="16"/>
      <c r="J120" s="17"/>
      <c r="K120" s="9"/>
    </row>
    <row r="121" spans="1:11">
      <c r="A121" s="6"/>
      <c r="B121" s="21"/>
      <c r="C121" s="16"/>
      <c r="D121" s="16"/>
      <c r="E121" s="16"/>
      <c r="F121" s="16"/>
      <c r="G121" s="16"/>
      <c r="H121" s="16"/>
      <c r="I121" s="16"/>
      <c r="J121" s="17"/>
      <c r="K121" s="10"/>
    </row>
    <row r="122" spans="1:11">
      <c r="A122" s="24"/>
      <c r="B122" s="22"/>
      <c r="C122" s="16"/>
      <c r="D122" s="16"/>
      <c r="E122" s="16"/>
      <c r="F122" s="16"/>
      <c r="G122" s="16"/>
      <c r="H122" s="16"/>
      <c r="I122" s="16"/>
      <c r="J122" s="17"/>
      <c r="K122" s="10"/>
    </row>
    <row r="123" spans="1:11">
      <c r="A123" s="6"/>
      <c r="B123" s="22"/>
      <c r="C123" s="16"/>
      <c r="D123" s="16"/>
      <c r="E123" s="16"/>
      <c r="F123" s="16"/>
      <c r="G123" s="16"/>
      <c r="H123" s="16"/>
      <c r="I123" s="16"/>
      <c r="J123" s="17"/>
      <c r="K123" s="10"/>
    </row>
    <row r="124" spans="1:11">
      <c r="A124" s="5"/>
      <c r="B124" s="26"/>
      <c r="C124" s="19"/>
      <c r="D124" s="19"/>
      <c r="E124" s="19"/>
      <c r="F124" s="19"/>
      <c r="G124" s="19"/>
      <c r="H124" s="19"/>
      <c r="I124" s="19"/>
      <c r="J124" s="20"/>
      <c r="K124" s="10"/>
    </row>
    <row r="125" spans="1:11">
      <c r="A125" s="6"/>
      <c r="B125" s="22"/>
      <c r="C125" s="16"/>
      <c r="D125" s="16"/>
      <c r="E125" s="16"/>
      <c r="F125" s="16"/>
      <c r="G125" s="16"/>
      <c r="H125" s="16"/>
      <c r="I125" s="16"/>
      <c r="J125" s="17"/>
      <c r="K125" s="9"/>
    </row>
    <row r="126" spans="1:11">
      <c r="A126" s="5"/>
      <c r="B126" s="26"/>
      <c r="C126" s="19"/>
      <c r="D126" s="19"/>
      <c r="E126" s="19"/>
      <c r="F126" s="19"/>
      <c r="G126" s="19"/>
      <c r="H126" s="19"/>
      <c r="I126" s="19"/>
      <c r="J126" s="20"/>
      <c r="K126" s="10"/>
    </row>
    <row r="127" spans="1:11">
      <c r="A127" s="6"/>
      <c r="B127" s="22"/>
      <c r="C127" s="16"/>
      <c r="D127" s="16"/>
      <c r="E127" s="16"/>
      <c r="F127" s="16"/>
      <c r="G127" s="16"/>
      <c r="H127" s="16"/>
      <c r="I127" s="16"/>
      <c r="J127" s="17"/>
      <c r="K127" s="9"/>
    </row>
    <row r="128" spans="1:11">
      <c r="A128" s="5"/>
      <c r="B128" s="5"/>
      <c r="C128" s="19"/>
      <c r="D128" s="19"/>
      <c r="E128" s="19"/>
      <c r="F128" s="19"/>
      <c r="G128" s="19"/>
      <c r="H128" s="19"/>
      <c r="I128" s="19"/>
      <c r="J128" s="20"/>
      <c r="K128" s="10"/>
    </row>
    <row r="129" spans="1:11">
      <c r="A129" s="6"/>
      <c r="B129" s="6"/>
      <c r="C129" s="16"/>
      <c r="D129" s="16"/>
      <c r="E129" s="16"/>
      <c r="F129" s="16"/>
      <c r="G129" s="16"/>
      <c r="H129" s="16"/>
      <c r="I129" s="16"/>
      <c r="J129" s="17"/>
      <c r="K129" s="9"/>
    </row>
    <row r="130" spans="1:11">
      <c r="A130" s="6"/>
      <c r="B130" s="21"/>
      <c r="C130" s="16"/>
      <c r="D130" s="16"/>
      <c r="E130" s="16"/>
      <c r="F130" s="16"/>
      <c r="G130" s="16"/>
      <c r="H130" s="16"/>
      <c r="I130" s="16"/>
      <c r="J130" s="17"/>
      <c r="K130" s="9"/>
    </row>
    <row r="131" spans="1:11">
      <c r="A131" s="5"/>
      <c r="B131" s="5"/>
      <c r="C131" s="19"/>
      <c r="D131" s="19"/>
      <c r="E131" s="19"/>
      <c r="F131" s="19"/>
      <c r="G131" s="19"/>
      <c r="H131" s="19"/>
      <c r="I131" s="19"/>
      <c r="J131" s="20"/>
      <c r="K131" s="10"/>
    </row>
    <row r="132" spans="1:11">
      <c r="A132" s="5"/>
      <c r="B132" s="5"/>
      <c r="C132" s="19"/>
      <c r="D132" s="19"/>
      <c r="E132" s="19"/>
      <c r="F132" s="19"/>
      <c r="G132" s="19"/>
      <c r="H132" s="19"/>
      <c r="I132" s="19"/>
      <c r="J132" s="20"/>
      <c r="K132" s="10"/>
    </row>
    <row r="133" spans="1:11">
      <c r="A133" s="18"/>
      <c r="B133" s="22"/>
      <c r="C133" s="16"/>
      <c r="D133" s="16"/>
      <c r="E133" s="16"/>
      <c r="F133" s="16"/>
      <c r="G133" s="16"/>
      <c r="H133" s="16"/>
      <c r="I133" s="16"/>
      <c r="J133" s="17"/>
      <c r="K133" s="10"/>
    </row>
    <row r="134" spans="1:11">
      <c r="A134" s="24"/>
      <c r="B134" s="22"/>
      <c r="C134" s="16"/>
      <c r="D134" s="16"/>
      <c r="E134" s="16"/>
      <c r="F134" s="16"/>
      <c r="G134" s="16"/>
      <c r="H134" s="16"/>
      <c r="I134" s="16"/>
      <c r="J134" s="17"/>
      <c r="K134" s="10"/>
    </row>
    <row r="135" spans="1:11">
      <c r="A135" s="5"/>
      <c r="B135" s="5"/>
      <c r="C135" s="19"/>
      <c r="D135" s="19"/>
      <c r="E135" s="19"/>
      <c r="F135" s="19"/>
      <c r="G135" s="19"/>
      <c r="H135" s="19"/>
      <c r="I135" s="19"/>
      <c r="J135" s="20"/>
      <c r="K135" s="10"/>
    </row>
    <row r="136" spans="1:11">
      <c r="A136" s="6"/>
      <c r="B136" s="6"/>
      <c r="C136" s="16"/>
      <c r="D136" s="16"/>
      <c r="E136" s="16"/>
      <c r="F136" s="16"/>
      <c r="G136" s="16"/>
      <c r="H136" s="16"/>
      <c r="I136" s="16"/>
      <c r="J136" s="17"/>
      <c r="K136" s="9"/>
    </row>
    <row r="137" spans="1:11">
      <c r="A137" s="5"/>
      <c r="B137" s="5"/>
      <c r="C137" s="19"/>
      <c r="D137" s="19"/>
      <c r="E137" s="19"/>
      <c r="F137" s="19"/>
      <c r="G137" s="19"/>
      <c r="H137" s="19"/>
      <c r="I137" s="19"/>
      <c r="J137" s="20"/>
      <c r="K137" s="10"/>
    </row>
    <row r="138" spans="1:11">
      <c r="A138" s="6"/>
      <c r="B138" s="21"/>
      <c r="C138" s="16"/>
      <c r="D138" s="16"/>
      <c r="E138" s="16"/>
      <c r="F138" s="16"/>
      <c r="G138" s="16"/>
      <c r="H138" s="16"/>
      <c r="I138" s="16"/>
      <c r="J138" s="17"/>
      <c r="K138" s="10"/>
    </row>
    <row r="139" spans="1:11">
      <c r="A139" s="5"/>
      <c r="B139" s="5"/>
      <c r="C139" s="19"/>
      <c r="D139" s="19"/>
      <c r="E139" s="19"/>
      <c r="F139" s="19"/>
      <c r="G139" s="19"/>
      <c r="H139" s="19"/>
      <c r="I139" s="19"/>
      <c r="J139" s="20"/>
      <c r="K139" s="10"/>
    </row>
    <row r="140" spans="1:11">
      <c r="A140" s="5"/>
      <c r="B140" s="5"/>
      <c r="C140" s="19"/>
      <c r="D140" s="19"/>
      <c r="E140" s="19"/>
      <c r="F140" s="19"/>
      <c r="G140" s="19"/>
      <c r="H140" s="19"/>
      <c r="I140" s="19"/>
      <c r="J140" s="20"/>
      <c r="K140" s="10"/>
    </row>
    <row r="141" spans="1:11">
      <c r="A141" s="6"/>
      <c r="B141" s="21"/>
      <c r="C141" s="16"/>
      <c r="D141" s="16"/>
      <c r="E141" s="16"/>
      <c r="F141" s="16"/>
      <c r="G141" s="16"/>
      <c r="H141" s="16"/>
      <c r="I141" s="16"/>
      <c r="J141" s="17"/>
      <c r="K141" s="10"/>
    </row>
    <row r="142" spans="1:11">
      <c r="A142" s="5"/>
      <c r="B142" s="5"/>
      <c r="C142" s="19"/>
      <c r="D142" s="19"/>
      <c r="E142" s="19"/>
      <c r="F142" s="19"/>
      <c r="G142" s="19"/>
      <c r="H142" s="19"/>
      <c r="I142" s="19"/>
      <c r="J142" s="20"/>
      <c r="K142" s="10"/>
    </row>
    <row r="143" spans="1:11">
      <c r="A143" s="5"/>
      <c r="B143" s="5"/>
      <c r="C143" s="19"/>
      <c r="D143" s="19"/>
      <c r="E143" s="19"/>
      <c r="F143" s="19"/>
      <c r="G143" s="19"/>
      <c r="H143" s="19"/>
      <c r="I143" s="19"/>
      <c r="J143" s="20"/>
      <c r="K143" s="10"/>
    </row>
    <row r="144" spans="1:11">
      <c r="A144" s="6"/>
      <c r="B144" s="6"/>
      <c r="C144" s="16"/>
      <c r="D144" s="16"/>
      <c r="E144" s="16"/>
      <c r="F144" s="16"/>
      <c r="G144" s="16"/>
      <c r="H144" s="16"/>
      <c r="I144" s="16"/>
      <c r="J144" s="17"/>
      <c r="K144" s="9"/>
    </row>
    <row r="145" spans="1:11">
      <c r="A145" s="5"/>
      <c r="B145" s="5"/>
      <c r="C145" s="19"/>
      <c r="D145" s="19"/>
      <c r="E145" s="19"/>
      <c r="F145" s="19"/>
      <c r="G145" s="19"/>
      <c r="H145" s="19"/>
      <c r="I145" s="19"/>
      <c r="J145" s="20"/>
      <c r="K145" s="10"/>
    </row>
    <row r="146" spans="1:11">
      <c r="A146" s="6"/>
      <c r="B146" s="6"/>
      <c r="C146" s="16"/>
      <c r="D146" s="16"/>
      <c r="E146" s="16"/>
      <c r="F146" s="16"/>
      <c r="G146" s="16"/>
      <c r="H146" s="16"/>
      <c r="I146" s="16"/>
      <c r="J146" s="17"/>
      <c r="K146" s="9"/>
    </row>
    <row r="147" spans="1:11">
      <c r="A147" s="6"/>
      <c r="B147" s="21"/>
      <c r="C147" s="16"/>
      <c r="D147" s="16"/>
      <c r="E147" s="16"/>
      <c r="F147" s="16"/>
      <c r="G147" s="16"/>
      <c r="H147" s="16"/>
      <c r="I147" s="16"/>
      <c r="J147" s="17"/>
      <c r="K147" s="9"/>
    </row>
    <row r="148" spans="1:11">
      <c r="A148" s="18"/>
      <c r="B148" s="22"/>
      <c r="C148" s="16"/>
      <c r="D148" s="16"/>
      <c r="E148" s="16"/>
      <c r="F148" s="16"/>
      <c r="G148" s="16"/>
      <c r="H148" s="16"/>
      <c r="I148" s="16"/>
      <c r="J148" s="17"/>
      <c r="K148" s="10"/>
    </row>
    <row r="149" spans="1:11">
      <c r="A149" s="18"/>
      <c r="B149" s="27"/>
      <c r="C149" s="16"/>
      <c r="D149" s="16"/>
      <c r="E149" s="16"/>
      <c r="F149" s="16"/>
      <c r="G149" s="16"/>
      <c r="H149" s="16"/>
      <c r="I149" s="16"/>
      <c r="J149" s="17"/>
      <c r="K149" s="10"/>
    </row>
    <row r="150" spans="1:11">
      <c r="A150" s="18"/>
      <c r="B150" s="27"/>
      <c r="C150" s="16"/>
      <c r="D150" s="16"/>
      <c r="E150" s="16"/>
      <c r="F150" s="16"/>
      <c r="G150" s="16"/>
      <c r="H150" s="16"/>
      <c r="I150" s="16"/>
      <c r="J150" s="17"/>
      <c r="K150" s="10"/>
    </row>
    <row r="151" spans="1:11">
      <c r="A151" s="18"/>
      <c r="B151" s="22"/>
      <c r="C151" s="16"/>
      <c r="D151" s="16"/>
      <c r="E151" s="16"/>
      <c r="F151" s="16"/>
      <c r="G151" s="16"/>
      <c r="H151" s="16"/>
      <c r="I151" s="16"/>
      <c r="J151" s="17"/>
      <c r="K151" s="10"/>
    </row>
    <row r="152" spans="1:11">
      <c r="A152" s="18"/>
      <c r="B152" s="22"/>
      <c r="C152" s="28"/>
      <c r="D152" s="28"/>
      <c r="E152" s="28"/>
      <c r="F152" s="28"/>
      <c r="G152" s="28"/>
      <c r="H152" s="28"/>
      <c r="I152" s="16"/>
      <c r="J152" s="17"/>
      <c r="K152" s="10"/>
    </row>
    <row r="153" spans="1:11">
      <c r="A153" s="5"/>
      <c r="B153" s="5"/>
      <c r="C153" s="19"/>
      <c r="D153" s="19"/>
      <c r="E153" s="19"/>
      <c r="F153" s="19"/>
      <c r="G153" s="19"/>
      <c r="H153" s="19"/>
      <c r="I153" s="19"/>
      <c r="J153" s="20"/>
      <c r="K153" s="10"/>
    </row>
    <row r="154" spans="1:11">
      <c r="A154" s="6"/>
      <c r="B154" s="6"/>
      <c r="C154" s="16"/>
      <c r="D154" s="16"/>
      <c r="E154" s="16"/>
      <c r="F154" s="16"/>
      <c r="G154" s="16"/>
      <c r="H154" s="16"/>
      <c r="I154" s="16"/>
      <c r="J154" s="17"/>
      <c r="K154" s="9"/>
    </row>
    <row r="155" spans="1:11">
      <c r="A155" s="6"/>
      <c r="B155" s="6"/>
      <c r="C155" s="16"/>
      <c r="D155" s="16"/>
      <c r="E155" s="16"/>
      <c r="F155" s="16"/>
      <c r="G155" s="16"/>
      <c r="H155" s="16"/>
      <c r="I155" s="16"/>
      <c r="J155" s="17"/>
      <c r="K155" s="9"/>
    </row>
    <row r="156" spans="1:11">
      <c r="A156" s="6"/>
      <c r="B156" s="6"/>
      <c r="C156" s="16"/>
      <c r="D156" s="16"/>
      <c r="E156" s="16"/>
      <c r="F156" s="16"/>
      <c r="G156" s="16"/>
      <c r="H156" s="16"/>
      <c r="I156" s="16"/>
      <c r="J156" s="17"/>
      <c r="K156" s="10"/>
    </row>
    <row r="157" spans="1:11">
      <c r="A157" s="6"/>
      <c r="B157" s="18"/>
      <c r="C157" s="16"/>
      <c r="D157" s="16"/>
      <c r="E157" s="16"/>
      <c r="F157" s="16"/>
      <c r="G157" s="16"/>
      <c r="H157" s="16"/>
      <c r="I157" s="16"/>
      <c r="J157" s="17"/>
      <c r="K157" s="9"/>
    </row>
    <row r="158" spans="1:11">
      <c r="A158" s="18"/>
      <c r="B158" s="22"/>
      <c r="C158" s="16"/>
      <c r="D158" s="16"/>
      <c r="E158" s="16"/>
      <c r="F158" s="16"/>
      <c r="G158" s="16"/>
      <c r="H158" s="16"/>
      <c r="I158" s="16"/>
      <c r="J158" s="17"/>
      <c r="K158" s="10"/>
    </row>
    <row r="159" spans="1:11">
      <c r="A159" s="18"/>
      <c r="B159" s="18"/>
      <c r="C159" s="16"/>
      <c r="D159" s="16"/>
      <c r="E159" s="16"/>
      <c r="F159" s="16"/>
      <c r="G159" s="16"/>
      <c r="H159" s="16"/>
      <c r="I159" s="16"/>
      <c r="J159" s="17"/>
      <c r="K159" s="9"/>
    </row>
    <row r="160" spans="1:11">
      <c r="A160" s="5"/>
      <c r="B160" s="5"/>
      <c r="C160" s="19"/>
      <c r="D160" s="19"/>
      <c r="E160" s="19"/>
      <c r="F160" s="19"/>
      <c r="G160" s="19"/>
      <c r="H160" s="19"/>
      <c r="I160" s="19"/>
      <c r="J160" s="20"/>
      <c r="K160" s="10"/>
    </row>
    <row r="161" spans="1:11">
      <c r="A161" s="18"/>
      <c r="B161" s="22"/>
      <c r="C161" s="16"/>
      <c r="D161" s="16"/>
      <c r="E161" s="16"/>
      <c r="F161" s="16"/>
      <c r="G161" s="16"/>
      <c r="H161" s="16"/>
      <c r="I161" s="16"/>
      <c r="J161" s="17"/>
      <c r="K161" s="10"/>
    </row>
    <row r="162" spans="1:11">
      <c r="A162" s="18"/>
      <c r="B162" s="18"/>
      <c r="C162" s="16"/>
      <c r="D162" s="16"/>
      <c r="E162" s="16"/>
      <c r="F162" s="16"/>
      <c r="G162" s="16"/>
      <c r="H162" s="16"/>
      <c r="I162" s="16"/>
      <c r="J162" s="17"/>
      <c r="K162" s="9"/>
    </row>
    <row r="163" spans="1:11">
      <c r="A163" s="18"/>
      <c r="B163" s="22"/>
      <c r="C163" s="16"/>
      <c r="D163" s="16"/>
      <c r="E163" s="16"/>
      <c r="F163" s="16"/>
      <c r="G163" s="16"/>
      <c r="H163" s="16"/>
      <c r="I163" s="16"/>
      <c r="J163" s="17"/>
      <c r="K163" s="9"/>
    </row>
    <row r="164" spans="1:11">
      <c r="A164" s="29"/>
      <c r="B164" s="29"/>
      <c r="C164" s="19"/>
      <c r="D164" s="19"/>
      <c r="E164" s="19"/>
      <c r="F164" s="19"/>
      <c r="G164" s="19"/>
      <c r="H164" s="19"/>
      <c r="I164" s="19"/>
      <c r="J164" s="20"/>
      <c r="K164" s="10"/>
    </row>
    <row r="165" spans="1:11">
      <c r="A165" s="18"/>
      <c r="B165" s="18"/>
      <c r="C165" s="16"/>
      <c r="D165" s="16"/>
      <c r="E165" s="16"/>
      <c r="F165" s="16"/>
      <c r="G165" s="16"/>
      <c r="H165" s="16"/>
      <c r="I165" s="16"/>
      <c r="J165" s="17"/>
      <c r="K165" s="10"/>
    </row>
    <row r="166" spans="1:11">
      <c r="A166" s="5"/>
      <c r="B166" s="5"/>
      <c r="C166" s="19"/>
      <c r="D166" s="19"/>
      <c r="E166" s="19"/>
      <c r="F166" s="19"/>
      <c r="G166" s="19"/>
      <c r="H166" s="19"/>
      <c r="I166" s="19"/>
      <c r="J166" s="20"/>
      <c r="K166" s="10"/>
    </row>
    <row r="167" spans="1:11">
      <c r="A167" s="6"/>
      <c r="B167" s="6"/>
      <c r="C167" s="16"/>
      <c r="D167" s="16"/>
      <c r="E167" s="16"/>
      <c r="F167" s="16"/>
      <c r="G167" s="16"/>
      <c r="H167" s="16"/>
      <c r="I167" s="16"/>
      <c r="J167" s="17"/>
      <c r="K167" s="9"/>
    </row>
    <row r="168" spans="1:11">
      <c r="A168" s="5"/>
      <c r="B168" s="5"/>
      <c r="C168" s="19"/>
      <c r="D168" s="19"/>
      <c r="E168" s="19"/>
      <c r="F168" s="19"/>
      <c r="G168" s="19"/>
      <c r="H168" s="19"/>
      <c r="I168" s="19"/>
      <c r="J168" s="20"/>
      <c r="K168" s="10"/>
    </row>
    <row r="169" spans="1:11">
      <c r="A169" s="6"/>
      <c r="B169" s="6"/>
      <c r="C169" s="16"/>
      <c r="D169" s="16"/>
      <c r="E169" s="16"/>
      <c r="F169" s="16"/>
      <c r="G169" s="16"/>
      <c r="H169" s="16"/>
      <c r="I169" s="16"/>
      <c r="J169" s="17"/>
      <c r="K169" s="9"/>
    </row>
    <row r="170" spans="1:11">
      <c r="A170" s="5"/>
      <c r="B170" s="5"/>
      <c r="C170" s="19"/>
      <c r="D170" s="19"/>
      <c r="E170" s="19"/>
      <c r="F170" s="19"/>
      <c r="G170" s="19"/>
      <c r="H170" s="19"/>
      <c r="I170" s="19"/>
      <c r="J170" s="20"/>
      <c r="K170" s="10"/>
    </row>
    <row r="171" spans="1:11">
      <c r="A171" s="5"/>
      <c r="B171" s="5"/>
      <c r="C171" s="10"/>
      <c r="D171" s="10"/>
      <c r="E171" s="10"/>
      <c r="F171" s="10"/>
      <c r="G171" s="10"/>
      <c r="H171" s="10"/>
      <c r="I171" s="10"/>
      <c r="J171" s="10"/>
      <c r="K171" s="10"/>
    </row>
  </sheetData>
  <pageMargins left="0.70866141732283472" right="0.70866141732283472" top="0.74803149606299213" bottom="0.74803149606299213" header="0.31496062992125984" footer="0.31496062992125984"/>
  <pageSetup paperSize="9" firstPageNumber="7" orientation="landscape" useFirstPageNumber="1" r:id="rId1"/>
  <headerFoot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topLeftCell="A14" workbookViewId="0">
      <selection activeCell="F26" sqref="F26"/>
    </sheetView>
  </sheetViews>
  <sheetFormatPr defaultColWidth="9.109375" defaultRowHeight="10.199999999999999"/>
  <cols>
    <col min="1" max="1" width="6.88671875" style="4" customWidth="1"/>
    <col min="2" max="2" width="46.33203125" style="4" customWidth="1"/>
    <col min="3" max="3" width="12" style="4" customWidth="1"/>
    <col min="4" max="4" width="11.33203125" style="4" bestFit="1" customWidth="1"/>
    <col min="5" max="5" width="12.109375" style="4" customWidth="1"/>
    <col min="6" max="6" width="12.44140625" style="4" customWidth="1"/>
    <col min="7" max="8" width="7.33203125" style="4" customWidth="1"/>
    <col min="9" max="9" width="8.109375" style="4" customWidth="1"/>
    <col min="10" max="16384" width="9.109375" style="4"/>
  </cols>
  <sheetData>
    <row r="1" spans="1:11" ht="12">
      <c r="A1" s="178" t="s">
        <v>450</v>
      </c>
      <c r="B1" s="178"/>
      <c r="C1" s="179"/>
      <c r="D1" s="179"/>
      <c r="E1" s="179"/>
      <c r="F1" s="179"/>
      <c r="G1" s="179"/>
      <c r="H1" s="179"/>
      <c r="I1" s="179"/>
      <c r="J1" s="180"/>
      <c r="K1" s="30"/>
    </row>
    <row r="2" spans="1:11" ht="12">
      <c r="A2" s="181"/>
      <c r="B2" s="181"/>
      <c r="C2" s="180"/>
      <c r="D2" s="310"/>
      <c r="E2" s="310"/>
      <c r="F2" s="180"/>
      <c r="G2" s="180"/>
      <c r="H2" s="180"/>
      <c r="I2" s="182" t="s">
        <v>0</v>
      </c>
      <c r="J2" s="182"/>
      <c r="K2" s="31"/>
    </row>
    <row r="3" spans="1:11" s="37" customFormat="1" ht="36">
      <c r="A3" s="183" t="s">
        <v>113</v>
      </c>
      <c r="B3" s="184" t="s">
        <v>207</v>
      </c>
      <c r="C3" s="62" t="s">
        <v>447</v>
      </c>
      <c r="D3" s="309" t="s">
        <v>523</v>
      </c>
      <c r="E3" s="157" t="s">
        <v>549</v>
      </c>
      <c r="F3" s="62" t="s">
        <v>451</v>
      </c>
      <c r="G3" s="64" t="s">
        <v>554</v>
      </c>
      <c r="H3" s="64" t="s">
        <v>212</v>
      </c>
      <c r="I3" s="62" t="s">
        <v>3</v>
      </c>
      <c r="J3" s="185"/>
      <c r="K3" s="36"/>
    </row>
    <row r="4" spans="1:11" ht="11.4">
      <c r="A4" s="186">
        <v>1</v>
      </c>
      <c r="B4" s="187">
        <v>2</v>
      </c>
      <c r="C4" s="188">
        <v>3</v>
      </c>
      <c r="D4" s="189">
        <v>4</v>
      </c>
      <c r="E4" s="189">
        <v>5</v>
      </c>
      <c r="F4" s="190">
        <v>6</v>
      </c>
      <c r="G4" s="188">
        <v>7</v>
      </c>
      <c r="H4" s="188">
        <v>8</v>
      </c>
      <c r="I4" s="188">
        <v>9</v>
      </c>
      <c r="J4" s="191"/>
      <c r="K4" s="32"/>
    </row>
    <row r="5" spans="1:11" ht="12">
      <c r="A5" s="192" t="s">
        <v>114</v>
      </c>
      <c r="B5" s="193" t="s">
        <v>115</v>
      </c>
      <c r="C5" s="194">
        <f>SUM(C6:C10)</f>
        <v>4507639</v>
      </c>
      <c r="D5" s="194">
        <f t="shared" ref="D5:E5" si="0">SUM(D6:D10)</f>
        <v>2783003.26</v>
      </c>
      <c r="E5" s="194">
        <f t="shared" si="0"/>
        <v>4001148.81</v>
      </c>
      <c r="F5" s="194">
        <f>SUM(F6:F10)</f>
        <v>4923478</v>
      </c>
      <c r="G5" s="194">
        <f>F5/C5*100</f>
        <v>109.22520636634832</v>
      </c>
      <c r="H5" s="194">
        <f>F5/E5</f>
        <v>1.2305160927018857</v>
      </c>
      <c r="I5" s="195">
        <f>F5/F$47</f>
        <v>0.30790920243311581</v>
      </c>
      <c r="J5" s="196"/>
      <c r="K5" s="33"/>
    </row>
    <row r="6" spans="1:11" ht="12">
      <c r="A6" s="197" t="s">
        <v>116</v>
      </c>
      <c r="B6" s="198" t="s">
        <v>117</v>
      </c>
      <c r="C6" s="298">
        <f>'Tab C'!H11+'Tab C'!H12+'Tab C'!H13+'Tab C'!H14+'Tab C'!H15+'Tab C'!H16+'Tab C'!H17+'Tab C'!H18+'Tab C'!H19+'Tab C'!H20+'Tab C'!H21+'Tab C'!H22+'Tab C'!H23+'Tab C'!H24+'Tab C'!H25+'Tab C'!H26+'Tab C'!H28+'Tab C'!H29+'Tab C'!H30+'Tab C'!H31+'Tab C'!H32+'Tab C'!H33+'Tab C'!H39+'Tab C'!H40+'Tab C'!H41+'Tab C'!H42+'Tab C'!H43+'Tab C'!H44+'Tab C'!H45+'Tab C'!H46+'Tab C'!H47+'Tab C'!H48+'Tab C'!H49+'Tab C'!H50+'Tab C'!H51+'Tab C'!H52+'Tab C'!H53+'Tab C'!H54+'Tab C'!H55+'Tab C'!H56+'Tab C'!H58+'Tab C'!H59+'Tab C'!H60+'Tab C'!H61+'Tab C'!H62+'Tab C'!H63+'Tab C'!H65+'Tab C'!H66+'Tab C'!H68+'Tab C'!H69+'Tab C'!H70+'Tab C'!H71+'Tab C'!H72+'Tab C'!H73+'Tab C'!H74+'Tab C'!H75+'Tab C'!H76+'Tab C'!H90+'Tab C'!H91+'Tab C'!H98+'Tab C'!H112+'Tab C'!H159+'Tab C'!H161+'Tab C'!H162+'Tab C'!H166+'Tab C'!H229+'Tab C'!H230+'Tab C'!H231+'Tab C'!H232+'Tab C'!H233+'Tab C'!H234+'Tab C'!H235+'Tab C'!H236+'Tab C'!H237+'Tab C'!H238+'Tab C'!H239+'Tab C'!H240+'Tab C'!H241+'Tab C'!H242+'Tab C'!H247+'Tab C'!H248+'Tab C'!H249</f>
        <v>2640762</v>
      </c>
      <c r="D6" s="298">
        <f>'Tab C'!I11+'Tab C'!I12+'Tab C'!I13+'Tab C'!I14+'Tab C'!I15+'Tab C'!I16+'Tab C'!I17+'Tab C'!I18+'Tab C'!I19+'Tab C'!I20+'Tab C'!I21+'Tab C'!I22+'Tab C'!I23+'Tab C'!I24+'Tab C'!I25+'Tab C'!I26+'Tab C'!I28+'Tab C'!I29+'Tab C'!I30+'Tab C'!I31+'Tab C'!I32+'Tab C'!I33+'Tab C'!I39+'Tab C'!I40+'Tab C'!I41+'Tab C'!I42+'Tab C'!I43+'Tab C'!I44+'Tab C'!I45+'Tab C'!I46+'Tab C'!I47+'Tab C'!I48+'Tab C'!I49+'Tab C'!I50+'Tab C'!I51+'Tab C'!I52+'Tab C'!I53+'Tab C'!I54+'Tab C'!I55+'Tab C'!I56+'Tab C'!I58+'Tab C'!I59+'Tab C'!I60+'Tab C'!I61+'Tab C'!I62+'Tab C'!I63+'Tab C'!I65+'Tab C'!I66+'Tab C'!I68+'Tab C'!I69+'Tab C'!I70+'Tab C'!I71+'Tab C'!I72+'Tab C'!I73+'Tab C'!I74+'Tab C'!I75+'Tab C'!I76+'Tab C'!I90+'Tab C'!I91+'Tab C'!I98+'Tab C'!I112+'Tab C'!I159+'Tab C'!I161+'Tab C'!I162+'Tab C'!I166+'Tab C'!I229+'Tab C'!I230+'Tab C'!I231+'Tab C'!I232+'Tab C'!I233+'Tab C'!I234+'Tab C'!I235+'Tab C'!I236+'Tab C'!I237+'Tab C'!I238+'Tab C'!I239+'Tab C'!I240+'Tab C'!I241+'Tab C'!I242+'Tab C'!I247+'Tab C'!I248+'Tab C'!I249</f>
        <v>1652174.8</v>
      </c>
      <c r="E6" s="298">
        <f>'Tab C'!J11+'Tab C'!J12+'Tab C'!J13+'Tab C'!J14+'Tab C'!J15+'Tab C'!J16+'Tab C'!J17+'Tab C'!J18+'Tab C'!J19+'Tab C'!J20+'Tab C'!J21+'Tab C'!J22+'Tab C'!J23+'Tab C'!J24+'Tab C'!J25+'Tab C'!J26+'Tab C'!J28+'Tab C'!J29+'Tab C'!J30+'Tab C'!J31+'Tab C'!J32+'Tab C'!J33+'Tab C'!J39+'Tab C'!J40+'Tab C'!J41+'Tab C'!J42+'Tab C'!J43+'Tab C'!J44+'Tab C'!J45+'Tab C'!J46+'Tab C'!J47+'Tab C'!J48+'Tab C'!J49+'Tab C'!J50+'Tab C'!J51+'Tab C'!J52+'Tab C'!J53+'Tab C'!J54+'Tab C'!J55+'Tab C'!J56+'Tab C'!J58+'Tab C'!J59+'Tab C'!J60+'Tab C'!J61+'Tab C'!J62+'Tab C'!J63+'Tab C'!J65+'Tab C'!J66+'Tab C'!J68+'Tab C'!J69+'Tab C'!J70+'Tab C'!J71+'Tab C'!J72+'Tab C'!J73+'Tab C'!J74+'Tab C'!J75+'Tab C'!J76+'Tab C'!J90+'Tab C'!J91+'Tab C'!J98+'Tab C'!J112+'Tab C'!J159+'Tab C'!J161+'Tab C'!J162+'Tab C'!J166+'Tab C'!J229+'Tab C'!J230+'Tab C'!J231+'Tab C'!J232+'Tab C'!J233+'Tab C'!J234+'Tab C'!J235+'Tab C'!J236+'Tab C'!J237+'Tab C'!J238+'Tab C'!J239+'Tab C'!J240+'Tab C'!J241+'Tab C'!J242+'Tab C'!J247+'Tab C'!J248+'Tab C'!J249</f>
        <v>2370256.9300000002</v>
      </c>
      <c r="F6" s="298">
        <f>'Tab C'!K11+'Tab C'!K12+'Tab C'!K13+'Tab C'!K14+'Tab C'!K15+'Tab C'!K16+'Tab C'!K17+'Tab C'!K18+'Tab C'!K19+'Tab C'!K20+'Tab C'!K21+'Tab C'!K22+'Tab C'!K23+'Tab C'!K24+'Tab C'!K25+'Tab C'!K26+'Tab C'!K28+'Tab C'!K29+'Tab C'!K30+'Tab C'!K31+'Tab C'!K32+'Tab C'!K33+'Tab C'!K39+'Tab C'!K40+'Tab C'!K41+'Tab C'!K42+'Tab C'!K43+'Tab C'!K44+'Tab C'!K45+'Tab C'!K46+'Tab C'!K47+'Tab C'!K48+'Tab C'!K49+'Tab C'!K50+'Tab C'!K51+'Tab C'!K52+'Tab C'!K53+'Tab C'!K54+'Tab C'!K55+'Tab C'!K56+'Tab C'!K58+'Tab C'!K59+'Tab C'!K60+'Tab C'!K61+'Tab C'!K62+'Tab C'!K63+'Tab C'!K65+'Tab C'!K66+'Tab C'!K68+'Tab C'!K69+'Tab C'!K70+'Tab C'!K71+'Tab C'!K72+'Tab C'!K73+'Tab C'!K74+'Tab C'!K75+'Tab C'!K76+'Tab C'!K90+'Tab C'!K91+'Tab C'!K98+'Tab C'!K112+'Tab C'!K159+'Tab C'!K160+'Tab C'!K161+'Tab C'!K162+'Tab C'!K166+'Tab C'!K229+'Tab C'!K230+'Tab C'!K231+'Tab C'!K232+'Tab C'!K233+'Tab C'!K234+'Tab C'!K235+'Tab C'!K236+'Tab C'!K237+'Tab C'!K238+'Tab C'!K239+'Tab C'!K240+'Tab C'!K241+'Tab C'!K242+'Tab C'!K243+'Tab C'!K244+'Tab C'!K245+'Tab C'!K247+'Tab C'!K248+'Tab C'!K249</f>
        <v>2935628</v>
      </c>
      <c r="G6" s="199">
        <f t="shared" ref="G6:G47" si="1">F6/C6*100</f>
        <v>111.16594376926055</v>
      </c>
      <c r="H6" s="194">
        <f>F6/E6</f>
        <v>1.2385273355154793</v>
      </c>
      <c r="I6" s="200">
        <f>F6/F$47</f>
        <v>0.18359112727229063</v>
      </c>
      <c r="J6" s="201"/>
      <c r="K6" s="34"/>
    </row>
    <row r="7" spans="1:11" ht="12">
      <c r="A7" s="197" t="s">
        <v>118</v>
      </c>
      <c r="B7" s="198" t="s">
        <v>119</v>
      </c>
      <c r="C7" s="199">
        <f>'Tab C'!H173+'Tab C'!H174+'Tab C'!H175+'Tab C'!H176+'Tab C'!H177+'Tab C'!H178+'Tab C'!H179+'Tab C'!H180+'Tab C'!H181+'Tab C'!H182+'Tab C'!H184+'Tab C'!H185+'Tab C'!H186+'Tab C'!H187+'Tab C'!H188+'Tab C'!H189+'Tab C'!H190+'Tab C'!H191+'Tab C'!H192+'Tab C'!H193+'Tab C'!H194+'Tab C'!H195+'Tab C'!H196+'Tab C'!H197+'Tab C'!H198+'Tab C'!H199+'Tab C'!H200+'Tab C'!H201+'Tab C'!H202+'Tab C'!H204+'Tab C'!H208+'Tab C'!H209+'Tab C'!H210+'Tab C'!H211+'Tab C'!H212</f>
        <v>816409</v>
      </c>
      <c r="D7" s="199">
        <f>'Tab C'!I173+'Tab C'!I174+'Tab C'!I175+'Tab C'!I176+'Tab C'!I177+'Tab C'!I178+'Tab C'!I179+'Tab C'!I180+'Tab C'!I181+'Tab C'!I182+'Tab C'!I184+'Tab C'!I185+'Tab C'!I186+'Tab C'!I187+'Tab C'!I188+'Tab C'!I189+'Tab C'!I190+'Tab C'!I191+'Tab C'!I192+'Tab C'!I193+'Tab C'!I194+'Tab C'!I195+'Tab C'!I196+'Tab C'!I197+'Tab C'!I198+'Tab C'!I199+'Tab C'!I200+'Tab C'!I201+'Tab C'!I202+'Tab C'!I204+'Tab C'!I208+'Tab C'!I209+'Tab C'!I210+'Tab C'!I211+'Tab C'!I212</f>
        <v>435285.83999999997</v>
      </c>
      <c r="E7" s="199">
        <f>'Tab C'!J173+'Tab C'!J174+'Tab C'!J175+'Tab C'!J176+'Tab C'!J177+'Tab C'!J178+'Tab C'!J179+'Tab C'!J180+'Tab C'!J181+'Tab C'!J182+'Tab C'!J184+'Tab C'!J185+'Tab C'!J186+'Tab C'!J187+'Tab C'!J188+'Tab C'!J189+'Tab C'!J190+'Tab C'!J191+'Tab C'!J192+'Tab C'!J193+'Tab C'!J194+'Tab C'!J195+'Tab C'!J196+'Tab C'!J197+'Tab C'!J198+'Tab C'!J199+'Tab C'!J200+'Tab C'!J201+'Tab C'!J202+'Tab C'!J204+'Tab C'!J208+'Tab C'!J209+'Tab C'!J210+'Tab C'!J211+'Tab C'!J212</f>
        <v>667375.23</v>
      </c>
      <c r="F7" s="199">
        <f>'Tab C'!K173+'Tab C'!K174+'Tab C'!K175+'Tab C'!K176+'Tab C'!K177+'Tab C'!K178+'Tab C'!K179+'Tab C'!K180+'Tab C'!K181+'Tab C'!K182+'Tab C'!K183+'Tab C'!K184+'Tab C'!K185+'Tab C'!K186+'Tab C'!K187+'Tab C'!K188+'Tab C'!K189+'Tab C'!K190+'Tab C'!K191+'Tab C'!K192+'Tab C'!K193+'Tab C'!K194+'Tab C'!K195+'Tab C'!K196+'Tab C'!K197+'Tab C'!K198+'Tab C'!K199+'Tab C'!K200+'Tab C'!K201+'Tab C'!K202+'Tab C'!K203+'Tab C'!K204+'Tab C'!K208+'Tab C'!K209+'Tab C'!K210+'Tab C'!K211+'Tab C'!K212</f>
        <v>875290</v>
      </c>
      <c r="G7" s="199">
        <f t="shared" si="1"/>
        <v>107.21219388811245</v>
      </c>
      <c r="H7" s="194">
        <f t="shared" ref="H7:H47" si="2">F7/E7</f>
        <v>1.3115410351684764</v>
      </c>
      <c r="I7" s="200">
        <f>F7/F$47</f>
        <v>5.473972785045083E-2</v>
      </c>
      <c r="J7" s="201"/>
      <c r="K7" s="34"/>
    </row>
    <row r="8" spans="1:11" ht="12">
      <c r="A8" s="197" t="s">
        <v>235</v>
      </c>
      <c r="B8" s="198" t="s">
        <v>120</v>
      </c>
      <c r="C8" s="199">
        <f>'Tab C'!H100+'Tab C'!H101+'Tab C'!H102+'Tab C'!H103+'Tab C'!H104+'Tab C'!H105+'Tab C'!H106+'Tab C'!H107+'Tab C'!H108</f>
        <v>139500</v>
      </c>
      <c r="D8" s="199">
        <f>'Tab C'!I100+'Tab C'!I101+'Tab C'!I102+'Tab C'!I103+'Tab C'!I104+'Tab C'!I105+'Tab C'!I106+'Tab C'!I107+'Tab C'!I108</f>
        <v>95163</v>
      </c>
      <c r="E8" s="199">
        <f>'Tab C'!J100+'Tab C'!J101+'Tab C'!J102+'Tab C'!J103+'Tab C'!J104+'Tab C'!J105+'Tab C'!J106+'Tab C'!J107+'Tab C'!J108</f>
        <v>139500</v>
      </c>
      <c r="F8" s="199">
        <f>'Tab C'!K100+'Tab C'!K101+'Tab C'!K102+'Tab C'!K103+'Tab C'!K104+'Tab C'!K105+'Tab C'!K106+'Tab C'!K107+'Tab C'!K108</f>
        <v>137500</v>
      </c>
      <c r="G8" s="199">
        <f t="shared" si="1"/>
        <v>98.56630824372759</v>
      </c>
      <c r="H8" s="194">
        <f t="shared" si="2"/>
        <v>0.98566308243727596</v>
      </c>
      <c r="I8" s="200">
        <f>F8/F$47</f>
        <v>8.5991072438128952E-3</v>
      </c>
      <c r="J8" s="201"/>
      <c r="K8" s="34"/>
    </row>
    <row r="9" spans="1:11" ht="12">
      <c r="A9" s="197" t="s">
        <v>121</v>
      </c>
      <c r="B9" s="198" t="s">
        <v>122</v>
      </c>
      <c r="C9" s="199">
        <f>'Tab C'!H256+'Tab C'!H257+'Tab C'!H258+'Tab C'!H259+'Tab C'!H260+'Tab C'!H261+'Tab C'!H262+'Tab C'!H263+'Tab C'!H264+'Tab C'!H265+'Tab C'!H266+'Tab C'!H267+'Tab C'!H268+'Tab C'!H269+'Tab C'!H270+'Tab C'!H271+'Tab C'!H272+'Tab C'!H274+'Tab C'!H275+'Tab C'!H276+'Tab C'!H277+'Tab C'!H280</f>
        <v>910968</v>
      </c>
      <c r="D9" s="199">
        <f>'Tab C'!I256+'Tab C'!I257+'Tab C'!I258+'Tab C'!I259+'Tab C'!I260+'Tab C'!I261+'Tab C'!I262+'Tab C'!I263+'Tab C'!I264+'Tab C'!I265+'Tab C'!I266+'Tab C'!I267+'Tab C'!I268+'Tab C'!I269+'Tab C'!I270+'Tab C'!I271+'Tab C'!I272+'Tab C'!I274+'Tab C'!I275+'Tab C'!I276+'Tab C'!I277+'Tab C'!I280</f>
        <v>600379.61999999988</v>
      </c>
      <c r="E9" s="199">
        <f>'Tab C'!J256+'Tab C'!J257+'Tab C'!J258+'Tab C'!J259+'Tab C'!J260+'Tab C'!J261+'Tab C'!J262+'Tab C'!J263+'Tab C'!J264+'Tab C'!J265+'Tab C'!J266+'Tab C'!J267+'Tab C'!J268+'Tab C'!J269+'Tab C'!J270+'Tab C'!J271+'Tab C'!J272+'Tab C'!J274+'Tab C'!J275+'Tab C'!J276+'Tab C'!J277+'Tab C'!J280</f>
        <v>824016.64999999991</v>
      </c>
      <c r="F9" s="199">
        <f>'Tab C'!K256+'Tab C'!K257+'Tab C'!K258+'Tab C'!K259+'Tab C'!K260+'Tab C'!K261+'Tab C'!K262+'Tab C'!K263+'Tab C'!K264+'Tab C'!K265+'Tab C'!K266+'Tab C'!K267+'Tab C'!K268+'Tab C'!K269+'Tab C'!K270+'Tab C'!K271+'Tab C'!K272+'Tab C'!K274+'Tab C'!K275+'Tab C'!K276+'Tab C'!K277+'Tab C'!K280</f>
        <v>975060</v>
      </c>
      <c r="G9" s="199">
        <f t="shared" si="1"/>
        <v>107.03559290776406</v>
      </c>
      <c r="H9" s="194">
        <f t="shared" si="2"/>
        <v>1.1833013325640933</v>
      </c>
      <c r="I9" s="200">
        <f>F9/F$47</f>
        <v>6.0979240066561469E-2</v>
      </c>
      <c r="J9" s="201"/>
      <c r="K9" s="34"/>
    </row>
    <row r="10" spans="1:11" ht="12">
      <c r="A10" s="197"/>
      <c r="B10" s="198"/>
      <c r="C10" s="199"/>
      <c r="D10" s="199"/>
      <c r="E10" s="199"/>
      <c r="F10" s="199"/>
      <c r="G10" s="199"/>
      <c r="H10" s="194"/>
      <c r="I10" s="200"/>
      <c r="J10" s="201"/>
      <c r="K10" s="34"/>
    </row>
    <row r="11" spans="1:11" ht="12">
      <c r="A11" s="192" t="s">
        <v>123</v>
      </c>
      <c r="B11" s="193" t="s">
        <v>124</v>
      </c>
      <c r="C11" s="194">
        <f>SUM(C12:C13)</f>
        <v>1408286</v>
      </c>
      <c r="D11" s="194">
        <f t="shared" ref="D11:E11" si="3">SUM(D12:D13)</f>
        <v>860771.46</v>
      </c>
      <c r="E11" s="194">
        <f t="shared" si="3"/>
        <v>1189271</v>
      </c>
      <c r="F11" s="194">
        <f>SUM(F12:F13)</f>
        <v>1503010</v>
      </c>
      <c r="G11" s="199">
        <f t="shared" si="1"/>
        <v>106.72619056072416</v>
      </c>
      <c r="H11" s="194">
        <f t="shared" si="2"/>
        <v>1.2638078284932535</v>
      </c>
      <c r="I11" s="195">
        <f>F11/F$47</f>
        <v>9.3996684934714331E-2</v>
      </c>
      <c r="J11" s="196"/>
      <c r="K11" s="33"/>
    </row>
    <row r="12" spans="1:11" ht="12">
      <c r="A12" s="197" t="s">
        <v>216</v>
      </c>
      <c r="B12" s="198" t="s">
        <v>125</v>
      </c>
      <c r="C12" s="199">
        <f>'Tab C'!H301+'Tab C'!H302+'Tab C'!H304+'Tab C'!H303+'Tab C'!H305+'Tab C'!H306+'Tab C'!H307+'Tab C'!H309+'Tab C'!H311+'Tab C'!H310+'Tab C'!H312+'Tab C'!H313+'Tab C'!H314+'Tab C'!H316+'Tab C'!H320+'Tab C'!H321+'Tab C'!H322+'Tab C'!H323+'Tab C'!H324+'Tab C'!H326+'Tab C'!H327+'Tab C'!H328+'Tab C'!H353+'Tab C'!H354+'Tab C'!H355+'Tab C'!H356+'Tab C'!H357</f>
        <v>918286</v>
      </c>
      <c r="D12" s="199">
        <f>'Tab C'!I301+'Tab C'!I302+'Tab C'!I304+'Tab C'!I303+'Tab C'!I305+'Tab C'!I306+'Tab C'!I307+'Tab C'!I309+'Tab C'!I311+'Tab C'!I310+'Tab C'!I312+'Tab C'!I313+'Tab C'!I314+'Tab C'!I316+'Tab C'!I320+'Tab C'!I321+'Tab C'!I322+'Tab C'!I323+'Tab C'!I324+'Tab C'!I326+'Tab C'!I327+'Tab C'!I328+'Tab C'!I353+'Tab C'!I354+'Tab C'!I355+'Tab C'!I356+'Tab C'!I357</f>
        <v>617569.99</v>
      </c>
      <c r="E12" s="199">
        <f>'Tab C'!J301+'Tab C'!J302+'Tab C'!J304+'Tab C'!J303+'Tab C'!J305+'Tab C'!J306+'Tab C'!J307+'Tab C'!J309+'Tab C'!J311+'Tab C'!J310+'Tab C'!J312+'Tab C'!J313+'Tab C'!J314+'Tab C'!J316+'Tab C'!J320+'Tab C'!J321+'Tab C'!J322+'Tab C'!J323+'Tab C'!J324+'Tab C'!J326+'Tab C'!J327+'Tab C'!J328+'Tab C'!J353+'Tab C'!J354+'Tab C'!J355+'Tab C'!J356+'Tab C'!J357</f>
        <v>891789</v>
      </c>
      <c r="F12" s="199">
        <f>'Tab C'!K301+'Tab C'!K302+'Tab C'!K304+'Tab C'!K303+'Tab C'!K305+'Tab C'!K306+'Tab C'!K307+'Tab C'!K308+'Tab C'!K309+'Tab C'!K311+'Tab C'!K310+'Tab C'!K312+'Tab C'!K313+'Tab C'!K314+'Tab C'!K316+'Tab C'!K320+'Tab C'!K321+'Tab C'!K322+'Tab C'!K323+'Tab C'!K324+'Tab C'!K325+'Tab C'!K326+'Tab C'!K327+'Tab C'!K328+'Tab C'!K353+'Tab C'!K354+'Tab C'!K355+'Tab C'!K356+'Tab C'!K357</f>
        <v>1086310</v>
      </c>
      <c r="G12" s="199">
        <f t="shared" si="1"/>
        <v>118.29756742452786</v>
      </c>
      <c r="H12" s="194">
        <f t="shared" si="2"/>
        <v>1.2181244666619571</v>
      </c>
      <c r="I12" s="200">
        <f>F12/F$47</f>
        <v>6.7936699563828265E-2</v>
      </c>
      <c r="J12" s="201"/>
      <c r="K12" s="34"/>
    </row>
    <row r="13" spans="1:11" ht="12">
      <c r="A13" s="197" t="s">
        <v>126</v>
      </c>
      <c r="B13" s="198" t="s">
        <v>127</v>
      </c>
      <c r="C13" s="199">
        <f>'Tab C'!H350+'Tab C'!H349+'Tab C'!H352</f>
        <v>490000</v>
      </c>
      <c r="D13" s="199">
        <f>'Tab C'!I350+'Tab C'!I349+'Tab C'!I352</f>
        <v>243201.47</v>
      </c>
      <c r="E13" s="199">
        <f>'Tab C'!J350+'Tab C'!J349+'Tab C'!J352</f>
        <v>297482</v>
      </c>
      <c r="F13" s="199">
        <f>'Tab C'!K350+'Tab C'!K349+'Tab C'!K352</f>
        <v>416700</v>
      </c>
      <c r="G13" s="199">
        <f t="shared" si="1"/>
        <v>85.040816326530617</v>
      </c>
      <c r="H13" s="194">
        <f t="shared" si="2"/>
        <v>1.4007570205928426</v>
      </c>
      <c r="I13" s="200">
        <f>F13/F$47</f>
        <v>2.6059985370886062E-2</v>
      </c>
      <c r="J13" s="201"/>
      <c r="K13" s="34"/>
    </row>
    <row r="14" spans="1:11" ht="12">
      <c r="A14" s="197"/>
      <c r="B14" s="198"/>
      <c r="C14" s="199"/>
      <c r="D14" s="199"/>
      <c r="E14" s="199"/>
      <c r="F14" s="199"/>
      <c r="G14" s="199"/>
      <c r="H14" s="194"/>
      <c r="I14" s="200"/>
      <c r="J14" s="201"/>
      <c r="K14" s="34"/>
    </row>
    <row r="15" spans="1:11" ht="12">
      <c r="A15" s="192" t="s">
        <v>128</v>
      </c>
      <c r="B15" s="193" t="s">
        <v>129</v>
      </c>
      <c r="C15" s="194">
        <f>SUM(C16:C17)</f>
        <v>105695</v>
      </c>
      <c r="D15" s="194">
        <f t="shared" ref="D15:E15" si="4">SUM(D16:D17)</f>
        <v>59531.180000000008</v>
      </c>
      <c r="E15" s="194">
        <f t="shared" si="4"/>
        <v>78836.100000000006</v>
      </c>
      <c r="F15" s="194">
        <f>SUM(F16:F17)</f>
        <v>122220</v>
      </c>
      <c r="G15" s="194">
        <f t="shared" si="1"/>
        <v>115.63460901650977</v>
      </c>
      <c r="H15" s="194">
        <f t="shared" si="2"/>
        <v>1.5503049998668121</v>
      </c>
      <c r="I15" s="195">
        <f>F15/F$47</f>
        <v>7.643511907918633E-3</v>
      </c>
      <c r="J15" s="196"/>
      <c r="K15" s="33"/>
    </row>
    <row r="16" spans="1:11" ht="12">
      <c r="A16" s="197" t="s">
        <v>130</v>
      </c>
      <c r="B16" s="202" t="s">
        <v>131</v>
      </c>
      <c r="C16" s="199">
        <f>'Tab C'!H351</f>
        <v>15000</v>
      </c>
      <c r="D16" s="199">
        <f>'Tab C'!I351</f>
        <v>13591.68</v>
      </c>
      <c r="E16" s="199">
        <f>'Tab C'!J351</f>
        <v>15000</v>
      </c>
      <c r="F16" s="199">
        <f>'Tab C'!K351</f>
        <v>15000</v>
      </c>
      <c r="G16" s="199">
        <f>'Tab C'!L351</f>
        <v>100</v>
      </c>
      <c r="H16" s="194">
        <f t="shared" si="2"/>
        <v>1</v>
      </c>
      <c r="I16" s="200">
        <f>F16/F$47</f>
        <v>9.380844265977704E-4</v>
      </c>
      <c r="J16" s="201"/>
      <c r="K16" s="34"/>
    </row>
    <row r="17" spans="1:11" ht="12">
      <c r="A17" s="197" t="s">
        <v>509</v>
      </c>
      <c r="B17" s="198" t="s">
        <v>200</v>
      </c>
      <c r="C17" s="199">
        <f>'Tab C'!H388</f>
        <v>90695</v>
      </c>
      <c r="D17" s="199">
        <f>'Tab C'!I388</f>
        <v>45939.500000000007</v>
      </c>
      <c r="E17" s="199">
        <f>'Tab C'!J388</f>
        <v>63836.1</v>
      </c>
      <c r="F17" s="199">
        <f>'Tab C'!K388</f>
        <v>107220</v>
      </c>
      <c r="G17" s="199">
        <f>'Tab C'!L388</f>
        <v>118.22040906334416</v>
      </c>
      <c r="H17" s="194">
        <f t="shared" si="2"/>
        <v>1.6796138861866561</v>
      </c>
      <c r="I17" s="200">
        <f>F17/F$47</f>
        <v>6.7054274813208633E-3</v>
      </c>
      <c r="J17" s="201"/>
      <c r="K17" s="34"/>
    </row>
    <row r="18" spans="1:11" ht="12">
      <c r="A18" s="197"/>
      <c r="B18" s="198"/>
      <c r="C18" s="199"/>
      <c r="D18" s="199"/>
      <c r="E18" s="199"/>
      <c r="F18" s="199"/>
      <c r="G18" s="199"/>
      <c r="H18" s="194"/>
      <c r="I18" s="200"/>
      <c r="J18" s="201"/>
      <c r="K18" s="34"/>
    </row>
    <row r="19" spans="1:11" ht="12">
      <c r="A19" s="192" t="s">
        <v>132</v>
      </c>
      <c r="B19" s="193" t="s">
        <v>133</v>
      </c>
      <c r="C19" s="194">
        <f>SUM(C20:C22)</f>
        <v>5253166</v>
      </c>
      <c r="D19" s="194">
        <f t="shared" ref="D19:E19" si="5">SUM(D20:D22)</f>
        <v>850687.85999999987</v>
      </c>
      <c r="E19" s="194">
        <f t="shared" si="5"/>
        <v>2488620.1799999997</v>
      </c>
      <c r="F19" s="194">
        <f>SUM(F20:F22)</f>
        <v>6386263</v>
      </c>
      <c r="G19" s="194">
        <f t="shared" si="1"/>
        <v>121.56979238805702</v>
      </c>
      <c r="H19" s="194">
        <f t="shared" si="2"/>
        <v>2.5661862952505676</v>
      </c>
      <c r="I19" s="195">
        <f>F19/F$47</f>
        <v>0.39939025763050379</v>
      </c>
      <c r="J19" s="196"/>
      <c r="K19" s="33"/>
    </row>
    <row r="20" spans="1:11" ht="12">
      <c r="A20" s="197" t="s">
        <v>517</v>
      </c>
      <c r="B20" s="202" t="s">
        <v>518</v>
      </c>
      <c r="C20" s="199">
        <f>'Tab C'!H221</f>
        <v>70000</v>
      </c>
      <c r="D20" s="199">
        <f>'Tab C'!I221</f>
        <v>55615.69</v>
      </c>
      <c r="E20" s="199">
        <f>'Tab C'!J221</f>
        <v>70000</v>
      </c>
      <c r="F20" s="199">
        <f>'Tab C'!K221</f>
        <v>50000</v>
      </c>
      <c r="G20" s="199">
        <f t="shared" si="1"/>
        <v>71.428571428571431</v>
      </c>
      <c r="H20" s="194">
        <f t="shared" si="2"/>
        <v>0.7142857142857143</v>
      </c>
      <c r="I20" s="200">
        <f>F20/F$47</f>
        <v>3.1269480886592345E-3</v>
      </c>
      <c r="J20" s="201"/>
      <c r="K20" s="34"/>
    </row>
    <row r="21" spans="1:11" ht="12">
      <c r="A21" s="197" t="s">
        <v>134</v>
      </c>
      <c r="B21" s="202" t="s">
        <v>135</v>
      </c>
      <c r="C21" s="199">
        <f>'Tab C'!H205+'Tab C'!H216+'Tab C'!H217</f>
        <v>488000</v>
      </c>
      <c r="D21" s="199">
        <f>'Tab C'!I205+'Tab C'!I216+'Tab C'!I217</f>
        <v>27186.33</v>
      </c>
      <c r="E21" s="199">
        <f>'Tab C'!J205+'Tab C'!J216+'Tab C'!J217</f>
        <v>489616</v>
      </c>
      <c r="F21" s="199">
        <f>'Tab C'!K205+'Tab C'!K206+'Tab C'!K207+'Tab C'!K216+'Tab C'!K217</f>
        <v>540561</v>
      </c>
      <c r="G21" s="199">
        <f t="shared" si="1"/>
        <v>110.77069672131148</v>
      </c>
      <c r="H21" s="194">
        <f t="shared" si="2"/>
        <v>1.1040509297081795</v>
      </c>
      <c r="I21" s="200">
        <f>F21/F$47</f>
        <v>3.3806123715074493E-2</v>
      </c>
      <c r="J21" s="201"/>
      <c r="K21" s="34"/>
    </row>
    <row r="22" spans="1:11" ht="12">
      <c r="A22" s="197" t="s">
        <v>236</v>
      </c>
      <c r="B22" s="203" t="s">
        <v>136</v>
      </c>
      <c r="C22" s="298">
        <f>'Tab C'!H113+'Tab C'!H114+'Tab C'!H115+'Tab C'!H116+'Tab C'!H120+'Tab C'!H122+'Tab C'!H123+'Tab C'!H136+'Tab C'!H137+'Tab C'!H140+'Tab C'!H141+'Tab C'!H142+'Tab C'!H143+'Tab C'!H144+'Tab C'!H146+'Tab C'!H148+'Tab C'!H149+'Tab C'!H150+'Tab C'!H152+'Tab C'!H153+'Tab C'!H157+'Tab C'!H158+'Tab C'!H329+'Tab C'!H330+'Tab C'!H331+'Tab C'!H332+'Tab C'!H334+'Tab C'!H335+'Tab C'!H336+'Tab C'!H337+'Tab C'!H338+'Tab C'!H339+'Tab C'!H340+'Tab C'!H344+'Tab C'!H345+'Tab C'!H347+'Tab C'!H346+'Tab C'!H348+'Tab C'!H359+'Tab C'!H360+'Tab C'!H361+'Tab C'!H362+'Tab C'!H363</f>
        <v>4695166</v>
      </c>
      <c r="D22" s="298">
        <f>'Tab C'!I113+'Tab C'!I114+'Tab C'!I115+'Tab C'!I116+'Tab C'!I120+'Tab C'!I122+'Tab C'!I123+'Tab C'!I136+'Tab C'!I137+'Tab C'!I140+'Tab C'!I141+'Tab C'!I142+'Tab C'!I143+'Tab C'!I144+'Tab C'!I146+'Tab C'!I148+'Tab C'!I149+'Tab C'!I150+'Tab C'!I152+'Tab C'!I153+'Tab C'!I157+'Tab C'!I158+'Tab C'!I329+'Tab C'!I330+'Tab C'!I331+'Tab C'!I332+'Tab C'!I334+'Tab C'!I335+'Tab C'!I336+'Tab C'!I337+'Tab C'!I338+'Tab C'!I339+'Tab C'!I340+'Tab C'!I344+'Tab C'!I345+'Tab C'!I347+'Tab C'!I346+'Tab C'!I348+'Tab C'!I359+'Tab C'!I360+'Tab C'!I361+'Tab C'!I362+'Tab C'!I363</f>
        <v>767885.83999999985</v>
      </c>
      <c r="E22" s="298">
        <f>'Tab C'!J113+'Tab C'!J114+'Tab C'!J115+'Tab C'!J116+'Tab C'!J120+'Tab C'!J122+'Tab C'!J123+'Tab C'!J136+'Tab C'!J137+'Tab C'!J140+'Tab C'!J141+'Tab C'!J142+'Tab C'!J143+'Tab C'!J144+'Tab C'!J146+'Tab C'!J148+'Tab C'!J149+'Tab C'!J150+'Tab C'!J152+'Tab C'!J153+'Tab C'!J157+'Tab C'!J158+'Tab C'!J329+'Tab C'!J330+'Tab C'!J331+'Tab C'!J332+'Tab C'!J334+'Tab C'!J335+'Tab C'!J336+'Tab C'!J337+'Tab C'!J338+'Tab C'!J339+'Tab C'!J340+'Tab C'!J344+'Tab C'!J345+'Tab C'!J347+'Tab C'!J346+'Tab C'!J348+'Tab C'!J359+'Tab C'!J360+'Tab C'!J361+'Tab C'!J362+'Tab C'!J363</f>
        <v>1929004.18</v>
      </c>
      <c r="F22" s="298">
        <f>'Tab C'!K113+'Tab C'!K114+'Tab C'!K115+'Tab C'!K116+'Tab C'!K120+'Tab C'!K122+'Tab C'!K123+'Tab C'!K136+'Tab C'!K137+'Tab C'!K138+'Tab C'!K140+'Tab C'!K141+'Tab C'!K142+'Tab C'!K143+'Tab C'!K144+'Tab C'!K146+'Tab C'!K148+'Tab C'!K149+'Tab C'!K150+'Tab C'!K151+'Tab C'!K152+'Tab C'!K153+'Tab C'!K157+'Tab C'!K158+'Tab C'!K329+'Tab C'!K330+'Tab C'!K331+'Tab C'!K332+'Tab C'!K333+'Tab C'!K334+'Tab C'!K335+'Tab C'!K336+'Tab C'!K337+'Tab C'!K338+'Tab C'!K339+'Tab C'!K340+'Tab C'!K341+'Tab C'!K344+'Tab C'!K345+'Tab C'!K347+'Tab C'!K346+'Tab C'!K348+'Tab C'!K359+'Tab C'!K360+'Tab C'!K361+'Tab C'!K362+'Tab C'!K363</f>
        <v>5795702</v>
      </c>
      <c r="G22" s="199">
        <f t="shared" si="1"/>
        <v>123.43976762482944</v>
      </c>
      <c r="H22" s="194">
        <f t="shared" si="2"/>
        <v>3.0045046351325171</v>
      </c>
      <c r="I22" s="200">
        <f>F22/F$47</f>
        <v>0.36245718582677006</v>
      </c>
      <c r="J22" s="201"/>
      <c r="K22" s="34"/>
    </row>
    <row r="23" spans="1:11" ht="12">
      <c r="A23" s="197"/>
      <c r="B23" s="198"/>
      <c r="C23" s="199"/>
      <c r="D23" s="199"/>
      <c r="E23" s="199"/>
      <c r="F23" s="199"/>
      <c r="G23" s="199"/>
      <c r="H23" s="194"/>
      <c r="I23" s="200"/>
      <c r="J23" s="201"/>
      <c r="K23" s="34"/>
    </row>
    <row r="24" spans="1:11" ht="12">
      <c r="A24" s="192" t="s">
        <v>137</v>
      </c>
      <c r="B24" s="193" t="s">
        <v>138</v>
      </c>
      <c r="C24" s="194">
        <f>SUM(C25:C27)</f>
        <v>1317930</v>
      </c>
      <c r="D24" s="194">
        <f t="shared" ref="D24:E24" si="6">SUM(D25:D27)</f>
        <v>506899.44</v>
      </c>
      <c r="E24" s="194">
        <f t="shared" si="6"/>
        <v>1087983</v>
      </c>
      <c r="F24" s="194">
        <f>SUM(F25:F27)</f>
        <v>1194300</v>
      </c>
      <c r="G24" s="194">
        <f t="shared" si="1"/>
        <v>90.619380391978339</v>
      </c>
      <c r="H24" s="194">
        <f t="shared" si="2"/>
        <v>1.0977193577473177</v>
      </c>
      <c r="I24" s="195">
        <f>F24/F$47</f>
        <v>7.4690282045714484E-2</v>
      </c>
      <c r="J24" s="196"/>
      <c r="K24" s="33"/>
    </row>
    <row r="25" spans="1:11" ht="12">
      <c r="A25" s="197" t="s">
        <v>139</v>
      </c>
      <c r="B25" s="203" t="s">
        <v>140</v>
      </c>
      <c r="C25" s="199">
        <f>'Tab C'!H125+'Tab C'!H126+'Tab C'!H129+'Tab C'!H130+'Tab C'!H131+'Tab C'!H154+'Tab C'!H214+'Tab C'!H220</f>
        <v>356030</v>
      </c>
      <c r="D25" s="199">
        <f>'Tab C'!I125+'Tab C'!I126+'Tab C'!I129+'Tab C'!I130+'Tab C'!I131+'Tab C'!I154+'Tab C'!I214+'Tab C'!I220</f>
        <v>215465.09</v>
      </c>
      <c r="E25" s="199">
        <f>'Tab C'!J125+'Tab C'!J126+'Tab C'!J129+'Tab C'!J130+'Tab C'!J131+'Tab C'!J154+'Tab C'!J214+'Tab C'!J220</f>
        <v>356083</v>
      </c>
      <c r="F25" s="199">
        <f>'Tab C'!K125+'Tab C'!K126+'Tab C'!K127+'Tab C'!K128+'Tab C'!K129+'Tab C'!K130+'Tab C'!K131+'Tab C'!K154+'Tab C'!K214+'Tab C'!K220</f>
        <v>215000</v>
      </c>
      <c r="G25" s="199">
        <f t="shared" si="1"/>
        <v>60.388169536275036</v>
      </c>
      <c r="H25" s="194">
        <f t="shared" si="2"/>
        <v>0.60379181258302139</v>
      </c>
      <c r="I25" s="200">
        <f>F25/F$47</f>
        <v>1.344587678123471E-2</v>
      </c>
      <c r="J25" s="201"/>
      <c r="K25" s="34"/>
    </row>
    <row r="26" spans="1:11" ht="12">
      <c r="A26" s="197" t="s">
        <v>507</v>
      </c>
      <c r="B26" s="198" t="s">
        <v>141</v>
      </c>
      <c r="C26" s="199">
        <f>'Tab C'!H139+'Tab C'!H315</f>
        <v>51000</v>
      </c>
      <c r="D26" s="199">
        <f>'Tab C'!I139+'Tab C'!I315</f>
        <v>27312.35</v>
      </c>
      <c r="E26" s="199">
        <f>'Tab C'!J139+'Tab C'!J315</f>
        <v>51000</v>
      </c>
      <c r="F26" s="199">
        <f>'Tab C'!K139+'Tab C'!K315</f>
        <v>56000</v>
      </c>
      <c r="G26" s="199">
        <f t="shared" si="1"/>
        <v>109.80392156862746</v>
      </c>
      <c r="H26" s="194">
        <f t="shared" si="2"/>
        <v>1.0980392156862746</v>
      </c>
      <c r="I26" s="200">
        <f>F26/F$47</f>
        <v>3.502181859298343E-3</v>
      </c>
      <c r="J26" s="201"/>
      <c r="K26" s="34"/>
    </row>
    <row r="27" spans="1:11" ht="12">
      <c r="A27" s="197" t="s">
        <v>508</v>
      </c>
      <c r="B27" s="198" t="s">
        <v>237</v>
      </c>
      <c r="C27" s="199">
        <f>'Tab C'!H124+'Tab C'!H132+'Tab C'!H133+'Tab C'!H134+'Tab C'!H135+'Tab C'!H155+'Tab C'!H156+'Tab C'!H163+'Tab C'!H165+'Tab C'!H215+'Tab C'!H219+'Tab C'!H317+'Tab C'!H318+'Tab C'!H319+'Tab C'!H364</f>
        <v>910900</v>
      </c>
      <c r="D27" s="199">
        <f>'Tab C'!I124+'Tab C'!I132+'Tab C'!I133+'Tab C'!I134+'Tab C'!I135+'Tab C'!I155+'Tab C'!I156+'Tab C'!I163+'Tab C'!I165+'Tab C'!I215+'Tab C'!I219+'Tab C'!I317+'Tab C'!I318+'Tab C'!I319+'Tab C'!I364</f>
        <v>264122</v>
      </c>
      <c r="E27" s="199">
        <f>'Tab C'!J124+'Tab C'!J132+'Tab C'!J133+'Tab C'!J134+'Tab C'!J135+'Tab C'!J155+'Tab C'!J156+'Tab C'!J163+'Tab C'!J165+'Tab C'!J215+'Tab C'!J219+'Tab C'!J317+'Tab C'!J318+'Tab C'!J319+'Tab C'!J364</f>
        <v>680900</v>
      </c>
      <c r="F27" s="199">
        <f>'Tab C'!K124+'Tab C'!K132+'Tab C'!K133+'Tab C'!K134+'Tab C'!K135+'Tab C'!K155+'Tab C'!K156+'Tab C'!K163+'Tab C'!K165+'Tab C'!K215+'Tab C'!K219+'Tab C'!K246+'Tab C'!K317+'Tab C'!K318+'Tab C'!K319+'Tab C'!K342+'Tab C'!K343+'Tab C'!K364</f>
        <v>923300</v>
      </c>
      <c r="G27" s="199">
        <f t="shared" si="1"/>
        <v>101.36129103084861</v>
      </c>
      <c r="H27" s="194">
        <f t="shared" si="2"/>
        <v>1.3559994125422234</v>
      </c>
      <c r="I27" s="200">
        <f>F27/F$47</f>
        <v>5.7742223405181425E-2</v>
      </c>
      <c r="J27" s="201"/>
      <c r="K27" s="34"/>
    </row>
    <row r="28" spans="1:11" ht="12">
      <c r="A28" s="197"/>
      <c r="B28" s="198"/>
      <c r="C28" s="199"/>
      <c r="D28" s="199"/>
      <c r="E28" s="199"/>
      <c r="F28" s="199"/>
      <c r="G28" s="199"/>
      <c r="H28" s="194"/>
      <c r="I28" s="200"/>
      <c r="J28" s="201"/>
      <c r="K28" s="34"/>
    </row>
    <row r="29" spans="1:11" ht="12">
      <c r="A29" s="192" t="s">
        <v>142</v>
      </c>
      <c r="B29" s="193" t="s">
        <v>143</v>
      </c>
      <c r="C29" s="194">
        <f>SUM(C30:C31)</f>
        <v>152000</v>
      </c>
      <c r="D29" s="194">
        <f t="shared" ref="D29:E29" si="7">SUM(D30:D31)</f>
        <v>69375</v>
      </c>
      <c r="E29" s="194">
        <f t="shared" si="7"/>
        <v>150000</v>
      </c>
      <c r="F29" s="194">
        <f>SUM(F30:F31)</f>
        <v>112000</v>
      </c>
      <c r="G29" s="194">
        <f t="shared" si="1"/>
        <v>73.68421052631578</v>
      </c>
      <c r="H29" s="194">
        <f t="shared" si="2"/>
        <v>0.7466666666666667</v>
      </c>
      <c r="I29" s="195">
        <f>F29/F$47</f>
        <v>7.0043637185966861E-3</v>
      </c>
      <c r="J29" s="196"/>
      <c r="K29" s="33"/>
    </row>
    <row r="30" spans="1:11" ht="12">
      <c r="A30" s="197" t="s">
        <v>514</v>
      </c>
      <c r="B30" s="202" t="s">
        <v>519</v>
      </c>
      <c r="C30" s="199">
        <f>'Tab C'!H92+'Tab C'!H93+'Tab C'!H94+'Tab C'!H95+'Tab C'!H109</f>
        <v>87000</v>
      </c>
      <c r="D30" s="199">
        <f>'Tab C'!I92+'Tab C'!I93+'Tab C'!I94+'Tab C'!I95+'Tab C'!I109</f>
        <v>32700</v>
      </c>
      <c r="E30" s="199">
        <f>'Tab C'!J92+'Tab C'!J93+'Tab C'!J94+'Tab C'!J95+'Tab C'!J109</f>
        <v>85000</v>
      </c>
      <c r="F30" s="199">
        <f>'Tab C'!K92+'Tab C'!K93+'Tab C'!K94+'Tab C'!K95+'Tab C'!K109</f>
        <v>97000</v>
      </c>
      <c r="G30" s="194">
        <f t="shared" si="1"/>
        <v>111.49425287356323</v>
      </c>
      <c r="H30" s="194">
        <f t="shared" si="2"/>
        <v>1.1411764705882352</v>
      </c>
      <c r="I30" s="200">
        <f>F30/F$47</f>
        <v>6.0662792919989154E-3</v>
      </c>
      <c r="J30" s="204"/>
      <c r="K30" s="34"/>
    </row>
    <row r="31" spans="1:11" ht="12">
      <c r="A31" s="197" t="s">
        <v>516</v>
      </c>
      <c r="B31" s="202" t="s">
        <v>520</v>
      </c>
      <c r="C31" s="199">
        <f>'Tab C'!H111+'Tab C'!H218</f>
        <v>65000</v>
      </c>
      <c r="D31" s="199">
        <f>'Tab C'!I111+'Tab C'!I218</f>
        <v>36675</v>
      </c>
      <c r="E31" s="199">
        <f>'Tab C'!J111+'Tab C'!J218</f>
        <v>65000</v>
      </c>
      <c r="F31" s="199">
        <f>'Tab C'!K111+'Tab C'!K218</f>
        <v>15000</v>
      </c>
      <c r="G31" s="194">
        <f t="shared" si="1"/>
        <v>23.076923076923077</v>
      </c>
      <c r="H31" s="194">
        <f t="shared" si="2"/>
        <v>0.23076923076923078</v>
      </c>
      <c r="I31" s="200"/>
      <c r="J31" s="204"/>
      <c r="K31" s="34"/>
    </row>
    <row r="32" spans="1:11" ht="12">
      <c r="A32" s="197"/>
      <c r="B32" s="202"/>
      <c r="C32" s="199"/>
      <c r="D32" s="199"/>
      <c r="E32" s="199"/>
      <c r="F32" s="199"/>
      <c r="G32" s="194"/>
      <c r="H32" s="194"/>
      <c r="I32" s="200"/>
      <c r="J32" s="204"/>
      <c r="K32" s="34"/>
    </row>
    <row r="33" spans="1:11" ht="12">
      <c r="A33" s="192" t="s">
        <v>144</v>
      </c>
      <c r="B33" s="205" t="s">
        <v>145</v>
      </c>
      <c r="C33" s="194">
        <f>SUM(C34:C37)</f>
        <v>837860</v>
      </c>
      <c r="D33" s="194">
        <f t="shared" ref="D33:E33" si="8">SUM(D34:D37)</f>
        <v>533974.73</v>
      </c>
      <c r="E33" s="194">
        <f t="shared" si="8"/>
        <v>827860</v>
      </c>
      <c r="F33" s="194">
        <f>SUM(F34:F37)</f>
        <v>765860</v>
      </c>
      <c r="G33" s="194">
        <f t="shared" si="1"/>
        <v>91.406678920105989</v>
      </c>
      <c r="H33" s="194">
        <f t="shared" si="2"/>
        <v>0.92510811006691951</v>
      </c>
      <c r="I33" s="195">
        <f>F33/F$47</f>
        <v>4.7896089263611233E-2</v>
      </c>
      <c r="J33" s="204"/>
      <c r="K33" s="35"/>
    </row>
    <row r="34" spans="1:11" ht="12">
      <c r="A34" s="197" t="s">
        <v>513</v>
      </c>
      <c r="B34" s="203" t="s">
        <v>146</v>
      </c>
      <c r="C34" s="199">
        <f>'Tab C'!H81+'Tab C'!H82+'Tab C'!H83+'Tab C'!H84+'Tab C'!H85+'Tab C'!H86+'Tab C'!H87+'Tab C'!H88+'Tab C'!H89+'Tab C'!H117+'Tab C'!H118+'Tab C'!H119+'Tab C'!H121</f>
        <v>418000</v>
      </c>
      <c r="D34" s="199">
        <f>'Tab C'!I81+'Tab C'!I82+'Tab C'!I83+'Tab C'!I84+'Tab C'!I85+'Tab C'!I86+'Tab C'!I87+'Tab C'!I88+'Tab C'!I89+'Tab C'!I117+'Tab C'!I118+'Tab C'!I119+'Tab C'!I121</f>
        <v>234754.25</v>
      </c>
      <c r="E34" s="199">
        <f>'Tab C'!J81+'Tab C'!J82+'Tab C'!J83+'Tab C'!J84+'Tab C'!J85+'Tab C'!J86+'Tab C'!J87+'Tab C'!J88+'Tab C'!J89+'Tab C'!J117+'Tab C'!J118+'Tab C'!J119+'Tab C'!J121</f>
        <v>418000</v>
      </c>
      <c r="F34" s="199">
        <f>'Tab C'!K81+'Tab C'!K82+'Tab C'!K83+'Tab C'!K84+'Tab C'!K85+'Tab C'!K86+'Tab C'!K87+'Tab C'!K88+'Tab C'!K89+'Tab C'!K117+'Tab C'!K118+'Tab C'!K119+'Tab C'!K121</f>
        <v>316000</v>
      </c>
      <c r="G34" s="199">
        <f t="shared" si="1"/>
        <v>75.598086124401902</v>
      </c>
      <c r="H34" s="194">
        <f t="shared" si="2"/>
        <v>0.75598086124401909</v>
      </c>
      <c r="I34" s="200">
        <f>F34/F$47</f>
        <v>1.9762311920326365E-2</v>
      </c>
      <c r="J34" s="204"/>
      <c r="K34" s="35"/>
    </row>
    <row r="35" spans="1:11" ht="12">
      <c r="A35" s="197" t="s">
        <v>512</v>
      </c>
      <c r="B35" s="198" t="s">
        <v>147</v>
      </c>
      <c r="C35" s="199">
        <f>'Tab C'!H77+'Tab C'!H78+'Tab C'!H79+'Tab C'!H80+'Tab C'!H97</f>
        <v>329000</v>
      </c>
      <c r="D35" s="199">
        <f>'Tab C'!I77+'Tab C'!I78+'Tab C'!I79+'Tab C'!I80+'Tab C'!I97</f>
        <v>241025.69</v>
      </c>
      <c r="E35" s="199">
        <f>'Tab C'!J77+'Tab C'!J78+'Tab C'!J79+'Tab C'!J80+'Tab C'!J97</f>
        <v>329000</v>
      </c>
      <c r="F35" s="199">
        <f>'Tab C'!K77+'Tab C'!K78+'Tab C'!K79+'Tab C'!K80+'Tab C'!K97+'Tab C'!K145</f>
        <v>359000</v>
      </c>
      <c r="G35" s="199">
        <f t="shared" si="1"/>
        <v>109.11854103343465</v>
      </c>
      <c r="H35" s="194">
        <f t="shared" si="2"/>
        <v>1.0911854103343466</v>
      </c>
      <c r="I35" s="200">
        <f>F35/F$47</f>
        <v>2.2451487276573305E-2</v>
      </c>
      <c r="J35" s="204"/>
      <c r="K35" s="35"/>
    </row>
    <row r="36" spans="1:11" ht="12">
      <c r="A36" s="197" t="s">
        <v>511</v>
      </c>
      <c r="B36" s="198" t="s">
        <v>148</v>
      </c>
      <c r="C36" s="199">
        <f>'Tab C'!H27+'Tab C'!H57+'Tab C'!H64</f>
        <v>50860</v>
      </c>
      <c r="D36" s="199">
        <f>'Tab C'!I27+'Tab C'!I57+'Tab C'!I64</f>
        <v>28427.789999999997</v>
      </c>
      <c r="E36" s="199">
        <f>'Tab C'!J27+'Tab C'!J57+'Tab C'!J64</f>
        <v>40860</v>
      </c>
      <c r="F36" s="199">
        <f>'Tab C'!K27+'Tab C'!K57+'Tab C'!K64</f>
        <v>50860</v>
      </c>
      <c r="G36" s="199">
        <f t="shared" si="1"/>
        <v>100</v>
      </c>
      <c r="H36" s="194">
        <f t="shared" si="2"/>
        <v>1.2447381302006852</v>
      </c>
      <c r="I36" s="200">
        <f>F36/F$47</f>
        <v>3.1807315957841737E-3</v>
      </c>
      <c r="J36" s="201"/>
      <c r="K36" s="34"/>
    </row>
    <row r="37" spans="1:11" ht="12">
      <c r="A37" s="197" t="s">
        <v>515</v>
      </c>
      <c r="B37" s="198" t="s">
        <v>149</v>
      </c>
      <c r="C37" s="199">
        <f>'Tab C'!H110</f>
        <v>40000</v>
      </c>
      <c r="D37" s="199">
        <f>'Tab C'!I110</f>
        <v>29767</v>
      </c>
      <c r="E37" s="199">
        <f>'Tab C'!J110</f>
        <v>40000</v>
      </c>
      <c r="F37" s="199">
        <f>'Tab C'!K110</f>
        <v>40000</v>
      </c>
      <c r="G37" s="199">
        <f t="shared" si="1"/>
        <v>100</v>
      </c>
      <c r="H37" s="194">
        <f>F37/E37</f>
        <v>1</v>
      </c>
      <c r="I37" s="200">
        <f>F37/F$47</f>
        <v>2.5015584709273879E-3</v>
      </c>
      <c r="J37" s="201"/>
      <c r="K37" s="34"/>
    </row>
    <row r="38" spans="1:11" ht="12">
      <c r="A38" s="197"/>
      <c r="B38" s="198"/>
      <c r="C38" s="199"/>
      <c r="D38" s="199"/>
      <c r="E38" s="199"/>
      <c r="F38" s="199"/>
      <c r="G38" s="199"/>
      <c r="H38" s="194"/>
      <c r="I38" s="200"/>
      <c r="J38" s="201"/>
      <c r="K38" s="34"/>
    </row>
    <row r="39" spans="1:11" ht="12">
      <c r="A39" s="192" t="s">
        <v>150</v>
      </c>
      <c r="B39" s="193" t="s">
        <v>151</v>
      </c>
      <c r="C39" s="194">
        <f>SUM(C40:C41)</f>
        <v>268780</v>
      </c>
      <c r="D39" s="194">
        <f t="shared" ref="D39:E39" si="9">SUM(D40:D41)</f>
        <v>195304.3</v>
      </c>
      <c r="E39" s="194">
        <f t="shared" si="9"/>
        <v>266780</v>
      </c>
      <c r="F39" s="194">
        <f>SUM(F40:F41)</f>
        <v>265901</v>
      </c>
      <c r="G39" s="194">
        <f t="shared" si="1"/>
        <v>98.928863754743659</v>
      </c>
      <c r="H39" s="194">
        <f t="shared" si="2"/>
        <v>0.99670515031111773</v>
      </c>
      <c r="I39" s="195">
        <f>F39/F$47</f>
        <v>1.6629172474451583E-2</v>
      </c>
      <c r="J39" s="196"/>
      <c r="K39" s="33"/>
    </row>
    <row r="40" spans="1:11" ht="12">
      <c r="A40" s="197" t="s">
        <v>152</v>
      </c>
      <c r="B40" s="198" t="s">
        <v>153</v>
      </c>
      <c r="C40" s="199">
        <f>'Tab C'!H279</f>
        <v>25000</v>
      </c>
      <c r="D40" s="199">
        <f>'Tab C'!I279</f>
        <v>23723.94</v>
      </c>
      <c r="E40" s="199">
        <f>'Tab C'!J279</f>
        <v>25000</v>
      </c>
      <c r="F40" s="199">
        <f>'Tab C'!K279</f>
        <v>25000</v>
      </c>
      <c r="G40" s="199">
        <f t="shared" si="1"/>
        <v>100</v>
      </c>
      <c r="H40" s="194">
        <f t="shared" si="2"/>
        <v>1</v>
      </c>
      <c r="I40" s="200">
        <f>F40/F$47</f>
        <v>1.5634740443296173E-3</v>
      </c>
      <c r="J40" s="201"/>
      <c r="K40" s="34"/>
    </row>
    <row r="41" spans="1:11" ht="12">
      <c r="A41" s="197" t="s">
        <v>506</v>
      </c>
      <c r="B41" s="198" t="s">
        <v>521</v>
      </c>
      <c r="C41" s="199">
        <f>'Tab C'!H67+'Tab C'!H99+'Tab C'!H213+'Tab C'!H222+'Tab C'!H273+'Tab C'!H278+'Tab C'!H281+'Tab C'!H289</f>
        <v>243780</v>
      </c>
      <c r="D41" s="199">
        <f>'Tab C'!I67+'Tab C'!I99+'Tab C'!I213+'Tab C'!I222+'Tab C'!I273+'Tab C'!I278+'Tab C'!I281+'Tab C'!I289</f>
        <v>171580.36</v>
      </c>
      <c r="E41" s="199">
        <f>'Tab C'!J67+'Tab C'!J99+'Tab C'!J213+'Tab C'!J222+'Tab C'!J273+'Tab C'!J278+'Tab C'!J281+'Tab C'!J289</f>
        <v>241780</v>
      </c>
      <c r="F41" s="199">
        <f>'Tab C'!K67+'Tab C'!K99+'Tab C'!K213+'Tab C'!K222+'Tab C'!K273+'Tab C'!K278+'Tab C'!K281+'Tab C'!K289</f>
        <v>240901</v>
      </c>
      <c r="G41" s="199">
        <f t="shared" si="1"/>
        <v>98.819017146607607</v>
      </c>
      <c r="H41" s="194">
        <f t="shared" si="2"/>
        <v>0.99636446356191577</v>
      </c>
      <c r="I41" s="200">
        <f>F41/F$47</f>
        <v>1.5065698430121966E-2</v>
      </c>
      <c r="J41" s="201"/>
      <c r="K41" s="34"/>
    </row>
    <row r="42" spans="1:11" ht="12">
      <c r="A42" s="197"/>
      <c r="B42" s="198"/>
      <c r="C42" s="199"/>
      <c r="D42" s="199"/>
      <c r="E42" s="199"/>
      <c r="F42" s="199"/>
      <c r="G42" s="199"/>
      <c r="H42" s="194"/>
      <c r="I42" s="200"/>
      <c r="J42" s="201"/>
      <c r="K42" s="34"/>
    </row>
    <row r="43" spans="1:11" ht="12">
      <c r="A43" s="192" t="s">
        <v>154</v>
      </c>
      <c r="B43" s="193" t="s">
        <v>155</v>
      </c>
      <c r="C43" s="194">
        <f>SUM(C44:C46)</f>
        <v>697000</v>
      </c>
      <c r="D43" s="194">
        <f t="shared" ref="D43:E43" si="10">SUM(D44:D46)</f>
        <v>452622.92</v>
      </c>
      <c r="E43" s="194">
        <f t="shared" si="10"/>
        <v>697000</v>
      </c>
      <c r="F43" s="194">
        <f>SUM(F44:F46)</f>
        <v>717000</v>
      </c>
      <c r="G43" s="194">
        <f t="shared" si="1"/>
        <v>102.86944045911048</v>
      </c>
      <c r="H43" s="194">
        <f t="shared" si="2"/>
        <v>1.0286944045911048</v>
      </c>
      <c r="I43" s="195">
        <f>F43/F$47</f>
        <v>4.4840435591373427E-2</v>
      </c>
      <c r="J43" s="196"/>
      <c r="K43" s="33"/>
    </row>
    <row r="44" spans="1:11" ht="12">
      <c r="A44" s="197" t="s">
        <v>156</v>
      </c>
      <c r="B44" s="198" t="s">
        <v>157</v>
      </c>
      <c r="C44" s="199">
        <f>'Tab C'!H96+'Tab C'!H282+'Tab C'!H283+'Tab C'!H285+'Tab C'!H290+'Tab C'!H291+'Tab C'!H292+'Tab C'!H293+'Tab C'!H294</f>
        <v>631000</v>
      </c>
      <c r="D44" s="199">
        <f>'Tab C'!I96+'Tab C'!I282+'Tab C'!I283+'Tab C'!I285+'Tab C'!I290+'Tab C'!I291+'Tab C'!I292+'Tab C'!I293+'Tab C'!I294</f>
        <v>428832.92</v>
      </c>
      <c r="E44" s="199">
        <f>'Tab C'!J96+'Tab C'!J282+'Tab C'!J283+'Tab C'!J285+'Tab C'!J290+'Tab C'!J291+'Tab C'!J292+'Tab C'!J293+'Tab C'!J294</f>
        <v>631000</v>
      </c>
      <c r="F44" s="199">
        <f>'Tab C'!K96+'Tab C'!K282+'Tab C'!K283+'Tab C'!K285+'Tab C'!K290+'Tab C'!K291+'Tab C'!K292+'Tab C'!K293+'Tab C'!K294</f>
        <v>631000</v>
      </c>
      <c r="G44" s="199">
        <f t="shared" si="1"/>
        <v>100</v>
      </c>
      <c r="H44" s="194">
        <f t="shared" si="2"/>
        <v>1</v>
      </c>
      <c r="I44" s="200">
        <f>F44/F$47</f>
        <v>3.946208487887954E-2</v>
      </c>
      <c r="J44" s="204"/>
      <c r="K44" s="34"/>
    </row>
    <row r="45" spans="1:11" ht="12">
      <c r="A45" s="197" t="s">
        <v>158</v>
      </c>
      <c r="B45" s="198" t="s">
        <v>159</v>
      </c>
      <c r="C45" s="199">
        <f>'Tab C'!H284</f>
        <v>30000</v>
      </c>
      <c r="D45" s="199">
        <f>'Tab C'!I284</f>
        <v>20750</v>
      </c>
      <c r="E45" s="199">
        <f>'Tab C'!J284</f>
        <v>30000</v>
      </c>
      <c r="F45" s="199">
        <f>'Tab C'!K284</f>
        <v>30000</v>
      </c>
      <c r="G45" s="199">
        <f t="shared" si="1"/>
        <v>100</v>
      </c>
      <c r="H45" s="194">
        <f t="shared" si="2"/>
        <v>1</v>
      </c>
      <c r="I45" s="200">
        <f>F45/F$47</f>
        <v>1.8761688531955408E-3</v>
      </c>
      <c r="J45" s="201"/>
      <c r="K45" s="34"/>
    </row>
    <row r="46" spans="1:11" ht="12">
      <c r="A46" s="197" t="s">
        <v>160</v>
      </c>
      <c r="B46" s="198" t="s">
        <v>161</v>
      </c>
      <c r="C46" s="199">
        <f>'Tab C'!H286+'Tab C'!H287+'Tab C'!H288</f>
        <v>36000</v>
      </c>
      <c r="D46" s="199">
        <f>'Tab C'!I286+'Tab C'!I287+'Tab C'!I288</f>
        <v>3040</v>
      </c>
      <c r="E46" s="199">
        <f>'Tab C'!J286+'Tab C'!J287+'Tab C'!J288</f>
        <v>36000</v>
      </c>
      <c r="F46" s="199">
        <f>'Tab C'!K286+'Tab C'!K287+'Tab C'!K288</f>
        <v>56000</v>
      </c>
      <c r="G46" s="199">
        <f t="shared" si="1"/>
        <v>155.55555555555557</v>
      </c>
      <c r="H46" s="194">
        <f t="shared" si="2"/>
        <v>1.5555555555555556</v>
      </c>
      <c r="I46" s="200">
        <f>F46/F$47</f>
        <v>3.502181859298343E-3</v>
      </c>
      <c r="J46" s="201"/>
      <c r="K46" s="34"/>
    </row>
    <row r="47" spans="1:11" ht="12">
      <c r="A47" s="206"/>
      <c r="B47" s="193" t="s">
        <v>162</v>
      </c>
      <c r="C47" s="194">
        <f>C5+C11+C15+C19+C24+C29+C33+C39+C43</f>
        <v>14548356</v>
      </c>
      <c r="D47" s="194">
        <f t="shared" ref="D47:F47" si="11">D5+D11+D15+D19+D24+D29+D33+D39+D43</f>
        <v>6312170.1499999994</v>
      </c>
      <c r="E47" s="194">
        <f t="shared" si="11"/>
        <v>10787499.09</v>
      </c>
      <c r="F47" s="194">
        <f t="shared" si="11"/>
        <v>15990032</v>
      </c>
      <c r="G47" s="194">
        <f t="shared" si="1"/>
        <v>109.90954579335288</v>
      </c>
      <c r="H47" s="194">
        <f t="shared" si="2"/>
        <v>1.4822742385974097</v>
      </c>
      <c r="I47" s="195">
        <f>F47/F$47</f>
        <v>1</v>
      </c>
      <c r="J47" s="196"/>
      <c r="K47" s="33"/>
    </row>
    <row r="48" spans="1:11" ht="11.4">
      <c r="A48" s="51"/>
      <c r="B48" s="51"/>
      <c r="C48" s="51"/>
      <c r="D48" s="51"/>
      <c r="E48" s="51"/>
      <c r="F48" s="51"/>
      <c r="G48" s="51"/>
      <c r="H48" s="51"/>
      <c r="I48" s="51"/>
      <c r="J48" s="51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firstPageNumber="8" orientation="landscape" useFirstPageNumber="1" r:id="rId1"/>
  <headerFoot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06"/>
  <sheetViews>
    <sheetView tabSelected="1" workbookViewId="0">
      <selection activeCell="A63" sqref="A63:XFD63"/>
    </sheetView>
  </sheetViews>
  <sheetFormatPr defaultColWidth="9.109375" defaultRowHeight="10.199999999999999"/>
  <cols>
    <col min="1" max="1" width="3" style="4" customWidth="1"/>
    <col min="2" max="2" width="3.109375" style="4" customWidth="1"/>
    <col min="3" max="3" width="3.6640625" style="4" customWidth="1"/>
    <col min="4" max="4" width="4.44140625" style="39" customWidth="1"/>
    <col min="5" max="5" width="7" style="4" customWidth="1"/>
    <col min="6" max="6" width="4.88671875" style="4" customWidth="1"/>
    <col min="7" max="7" width="44" style="4" customWidth="1"/>
    <col min="8" max="8" width="12.109375" style="4" customWidth="1"/>
    <col min="9" max="9" width="11.33203125" style="4" customWidth="1"/>
    <col min="10" max="10" width="12.33203125" style="4" customWidth="1"/>
    <col min="11" max="11" width="12.44140625" style="4" customWidth="1"/>
    <col min="12" max="13" width="7" style="4" customWidth="1"/>
    <col min="14" max="14" width="7.5546875" style="4" customWidth="1"/>
    <col min="15" max="16384" width="9.109375" style="4"/>
  </cols>
  <sheetData>
    <row r="1" spans="1:14" ht="12.75" customHeight="1">
      <c r="A1" s="51"/>
      <c r="B1" s="51"/>
      <c r="C1" s="51"/>
      <c r="D1" s="52"/>
      <c r="E1" s="53"/>
      <c r="F1" s="53"/>
      <c r="G1" s="54" t="s">
        <v>192</v>
      </c>
      <c r="H1" s="53"/>
      <c r="I1" s="53"/>
      <c r="J1" s="53"/>
      <c r="K1" s="53"/>
      <c r="L1" s="53"/>
      <c r="M1" s="53"/>
      <c r="N1" s="53"/>
    </row>
    <row r="2" spans="1:14" ht="11.4">
      <c r="A2" s="51"/>
      <c r="B2" s="51"/>
      <c r="C2" s="51"/>
      <c r="D2" s="52"/>
      <c r="E2" s="53"/>
      <c r="F2" s="53"/>
      <c r="G2" s="55" t="s">
        <v>561</v>
      </c>
      <c r="H2" s="53"/>
      <c r="I2" s="53"/>
      <c r="J2" s="53"/>
      <c r="K2" s="53"/>
      <c r="L2" s="53"/>
      <c r="M2" s="53"/>
      <c r="N2" s="53"/>
    </row>
    <row r="3" spans="1:14" ht="11.4">
      <c r="A3" s="51"/>
      <c r="B3" s="51"/>
      <c r="C3" s="51"/>
      <c r="D3" s="52"/>
      <c r="E3" s="53"/>
      <c r="F3" s="53"/>
      <c r="G3" s="55"/>
      <c r="H3" s="53"/>
      <c r="I3" s="53"/>
      <c r="J3" s="53"/>
      <c r="K3" s="53"/>
      <c r="L3" s="53"/>
      <c r="M3" s="53"/>
      <c r="N3" s="53"/>
    </row>
    <row r="4" spans="1:14" ht="11.4">
      <c r="A4" s="348" t="s">
        <v>584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1.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2">
      <c r="A6" s="387" t="s">
        <v>233</v>
      </c>
      <c r="B6" s="387"/>
      <c r="C6" s="387"/>
      <c r="D6" s="387"/>
      <c r="E6" s="387"/>
      <c r="F6" s="387"/>
      <c r="G6" s="387"/>
      <c r="H6" s="57"/>
      <c r="I6" s="57"/>
      <c r="J6" s="312"/>
      <c r="K6" s="312"/>
      <c r="L6" s="57"/>
      <c r="M6" s="57"/>
      <c r="N6" s="58" t="s">
        <v>0</v>
      </c>
    </row>
    <row r="7" spans="1:14" s="37" customFormat="1" ht="51">
      <c r="A7" s="59" t="s">
        <v>163</v>
      </c>
      <c r="B7" s="59" t="s">
        <v>164</v>
      </c>
      <c r="C7" s="60" t="s">
        <v>165</v>
      </c>
      <c r="D7" s="124" t="s">
        <v>532</v>
      </c>
      <c r="E7" s="125" t="s">
        <v>70</v>
      </c>
      <c r="F7" s="125" t="s">
        <v>213</v>
      </c>
      <c r="G7" s="61" t="s">
        <v>205</v>
      </c>
      <c r="H7" s="62" t="s">
        <v>287</v>
      </c>
      <c r="I7" s="63" t="s">
        <v>523</v>
      </c>
      <c r="J7" s="157" t="s">
        <v>549</v>
      </c>
      <c r="K7" s="311" t="s">
        <v>288</v>
      </c>
      <c r="L7" s="64" t="s">
        <v>556</v>
      </c>
      <c r="M7" s="64" t="s">
        <v>557</v>
      </c>
      <c r="N7" s="62" t="s">
        <v>3</v>
      </c>
    </row>
    <row r="8" spans="1:14" ht="11.4">
      <c r="A8" s="65">
        <v>1</v>
      </c>
      <c r="B8" s="66">
        <v>2</v>
      </c>
      <c r="C8" s="65">
        <v>3</v>
      </c>
      <c r="D8" s="67" t="s">
        <v>550</v>
      </c>
      <c r="E8" s="68">
        <v>5</v>
      </c>
      <c r="F8" s="68">
        <v>6</v>
      </c>
      <c r="G8" s="69">
        <v>7</v>
      </c>
      <c r="H8" s="70">
        <v>8</v>
      </c>
      <c r="I8" s="69">
        <v>9</v>
      </c>
      <c r="J8" s="69">
        <v>10</v>
      </c>
      <c r="K8" s="68">
        <v>11</v>
      </c>
      <c r="L8" s="68">
        <v>12</v>
      </c>
      <c r="M8" s="68">
        <v>13</v>
      </c>
      <c r="N8" s="68">
        <v>14</v>
      </c>
    </row>
    <row r="9" spans="1:14" ht="26.25" customHeight="1">
      <c r="A9" s="71" t="s">
        <v>166</v>
      </c>
      <c r="B9" s="72" t="s">
        <v>167</v>
      </c>
      <c r="C9" s="65"/>
      <c r="D9" s="73"/>
      <c r="E9" s="74"/>
      <c r="F9" s="70"/>
      <c r="G9" s="75" t="s">
        <v>543</v>
      </c>
      <c r="H9" s="76"/>
      <c r="I9" s="77"/>
      <c r="J9" s="77"/>
      <c r="K9" s="76"/>
      <c r="L9" s="76"/>
      <c r="M9" s="76"/>
      <c r="N9" s="78"/>
    </row>
    <row r="10" spans="1:14" ht="12">
      <c r="A10" s="65"/>
      <c r="B10" s="65"/>
      <c r="C10" s="65"/>
      <c r="D10" s="73"/>
      <c r="E10" s="74">
        <v>610000</v>
      </c>
      <c r="F10" s="70"/>
      <c r="G10" s="79" t="s">
        <v>168</v>
      </c>
      <c r="H10" s="76"/>
      <c r="I10" s="77"/>
      <c r="J10" s="77"/>
      <c r="K10" s="76"/>
      <c r="L10" s="76"/>
      <c r="M10" s="76"/>
      <c r="N10" s="78"/>
    </row>
    <row r="11" spans="1:14" ht="16.5" customHeight="1">
      <c r="A11" s="72" t="s">
        <v>167</v>
      </c>
      <c r="B11" s="72" t="s">
        <v>167</v>
      </c>
      <c r="C11" s="72" t="s">
        <v>169</v>
      </c>
      <c r="D11" s="80" t="s">
        <v>116</v>
      </c>
      <c r="E11" s="81">
        <v>611110</v>
      </c>
      <c r="F11" s="82" t="s">
        <v>215</v>
      </c>
      <c r="G11" s="77" t="s">
        <v>172</v>
      </c>
      <c r="H11" s="83">
        <v>0</v>
      </c>
      <c r="I11" s="84">
        <v>0</v>
      </c>
      <c r="J11" s="84">
        <v>0</v>
      </c>
      <c r="K11" s="333">
        <v>87800</v>
      </c>
      <c r="L11" s="83" t="e">
        <f>K11/H11*100</f>
        <v>#DIV/0!</v>
      </c>
      <c r="M11" s="83" t="e">
        <f>K11/J11</f>
        <v>#DIV/0!</v>
      </c>
      <c r="N11" s="85">
        <f t="shared" ref="N11:N34" si="0">K11/K$390</f>
        <v>5.490920843685616E-3</v>
      </c>
    </row>
    <row r="12" spans="1:14" ht="16.5" customHeight="1">
      <c r="A12" s="72" t="s">
        <v>167</v>
      </c>
      <c r="B12" s="72" t="s">
        <v>167</v>
      </c>
      <c r="C12" s="72" t="s">
        <v>169</v>
      </c>
      <c r="D12" s="80" t="s">
        <v>116</v>
      </c>
      <c r="E12" s="81">
        <v>611111</v>
      </c>
      <c r="F12" s="82" t="s">
        <v>215</v>
      </c>
      <c r="G12" s="77" t="s">
        <v>293</v>
      </c>
      <c r="H12" s="83">
        <v>84700</v>
      </c>
      <c r="I12" s="84">
        <v>54564.72</v>
      </c>
      <c r="J12" s="332">
        <v>76504</v>
      </c>
      <c r="K12" s="83">
        <v>0</v>
      </c>
      <c r="L12" s="83">
        <f t="shared" ref="L12:L22" si="1">K12/H12*100</f>
        <v>0</v>
      </c>
      <c r="M12" s="83">
        <f t="shared" ref="M12:M72" si="2">K12/J12</f>
        <v>0</v>
      </c>
      <c r="N12" s="85">
        <f t="shared" si="0"/>
        <v>0</v>
      </c>
    </row>
    <row r="13" spans="1:14" ht="16.5" customHeight="1">
      <c r="A13" s="72" t="s">
        <v>167</v>
      </c>
      <c r="B13" s="72" t="s">
        <v>167</v>
      </c>
      <c r="C13" s="72" t="s">
        <v>169</v>
      </c>
      <c r="D13" s="80" t="s">
        <v>116</v>
      </c>
      <c r="E13" s="81">
        <v>611130</v>
      </c>
      <c r="F13" s="82" t="s">
        <v>215</v>
      </c>
      <c r="G13" s="77" t="s">
        <v>295</v>
      </c>
      <c r="H13" s="83">
        <v>0</v>
      </c>
      <c r="I13" s="84">
        <v>0</v>
      </c>
      <c r="J13" s="84">
        <v>0</v>
      </c>
      <c r="K13" s="333">
        <v>39500</v>
      </c>
      <c r="L13" s="83" t="e">
        <f t="shared" si="1"/>
        <v>#DIV/0!</v>
      </c>
      <c r="M13" s="83" t="e">
        <f t="shared" si="2"/>
        <v>#DIV/0!</v>
      </c>
      <c r="N13" s="85">
        <f t="shared" si="0"/>
        <v>2.4702889900407956E-3</v>
      </c>
    </row>
    <row r="14" spans="1:14" ht="16.5" customHeight="1">
      <c r="A14" s="72" t="s">
        <v>167</v>
      </c>
      <c r="B14" s="72" t="s">
        <v>167</v>
      </c>
      <c r="C14" s="72" t="s">
        <v>169</v>
      </c>
      <c r="D14" s="80" t="s">
        <v>116</v>
      </c>
      <c r="E14" s="81">
        <v>611131</v>
      </c>
      <c r="F14" s="82" t="s">
        <v>215</v>
      </c>
      <c r="G14" s="77" t="s">
        <v>294</v>
      </c>
      <c r="H14" s="83">
        <v>38054</v>
      </c>
      <c r="I14" s="84">
        <v>24514.94</v>
      </c>
      <c r="J14" s="332">
        <v>34373</v>
      </c>
      <c r="K14" s="83">
        <v>0</v>
      </c>
      <c r="L14" s="83">
        <f t="shared" si="1"/>
        <v>0</v>
      </c>
      <c r="M14" s="83">
        <f t="shared" si="2"/>
        <v>0</v>
      </c>
      <c r="N14" s="85">
        <f t="shared" si="0"/>
        <v>0</v>
      </c>
    </row>
    <row r="15" spans="1:14" ht="16.5" customHeight="1">
      <c r="A15" s="72" t="s">
        <v>167</v>
      </c>
      <c r="B15" s="72" t="s">
        <v>167</v>
      </c>
      <c r="C15" s="72" t="s">
        <v>169</v>
      </c>
      <c r="D15" s="80" t="s">
        <v>116</v>
      </c>
      <c r="E15" s="81">
        <v>611211</v>
      </c>
      <c r="F15" s="82" t="s">
        <v>215</v>
      </c>
      <c r="G15" s="77" t="s">
        <v>296</v>
      </c>
      <c r="H15" s="83">
        <v>4800</v>
      </c>
      <c r="I15" s="84">
        <v>1711.95</v>
      </c>
      <c r="J15" s="84">
        <v>2582</v>
      </c>
      <c r="K15" s="333">
        <v>3800</v>
      </c>
      <c r="L15" s="83">
        <f t="shared" si="1"/>
        <v>79.166666666666657</v>
      </c>
      <c r="M15" s="83">
        <f t="shared" si="2"/>
        <v>1.471727343144849</v>
      </c>
      <c r="N15" s="85">
        <f t="shared" si="0"/>
        <v>2.3764805473810183E-4</v>
      </c>
    </row>
    <row r="16" spans="1:14" ht="16.5" customHeight="1">
      <c r="A16" s="72" t="s">
        <v>167</v>
      </c>
      <c r="B16" s="72" t="s">
        <v>167</v>
      </c>
      <c r="C16" s="72" t="s">
        <v>169</v>
      </c>
      <c r="D16" s="80" t="s">
        <v>116</v>
      </c>
      <c r="E16" s="81">
        <v>611221</v>
      </c>
      <c r="F16" s="82" t="s">
        <v>215</v>
      </c>
      <c r="G16" s="77" t="s">
        <v>289</v>
      </c>
      <c r="H16" s="83">
        <v>12672</v>
      </c>
      <c r="I16" s="84">
        <v>5284.62</v>
      </c>
      <c r="J16" s="84">
        <v>8224</v>
      </c>
      <c r="K16" s="83">
        <v>12940</v>
      </c>
      <c r="L16" s="83">
        <f t="shared" si="1"/>
        <v>102.11489898989899</v>
      </c>
      <c r="M16" s="83">
        <f t="shared" si="2"/>
        <v>1.5734435797665369</v>
      </c>
      <c r="N16" s="85">
        <f t="shared" si="0"/>
        <v>8.0925416534500996E-4</v>
      </c>
    </row>
    <row r="17" spans="1:14" ht="16.5" customHeight="1">
      <c r="A17" s="72" t="s">
        <v>167</v>
      </c>
      <c r="B17" s="72" t="s">
        <v>167</v>
      </c>
      <c r="C17" s="72" t="s">
        <v>169</v>
      </c>
      <c r="D17" s="80" t="s">
        <v>116</v>
      </c>
      <c r="E17" s="81">
        <v>611224</v>
      </c>
      <c r="F17" s="82" t="s">
        <v>215</v>
      </c>
      <c r="G17" s="77" t="s">
        <v>75</v>
      </c>
      <c r="H17" s="83">
        <v>2400</v>
      </c>
      <c r="I17" s="84">
        <v>1800</v>
      </c>
      <c r="J17" s="84">
        <v>1800</v>
      </c>
      <c r="K17" s="333">
        <v>2600</v>
      </c>
      <c r="L17" s="83">
        <f t="shared" si="1"/>
        <v>108.33333333333333</v>
      </c>
      <c r="M17" s="83">
        <f t="shared" si="2"/>
        <v>1.4444444444444444</v>
      </c>
      <c r="N17" s="85">
        <f t="shared" si="0"/>
        <v>1.626013006102802E-4</v>
      </c>
    </row>
    <row r="18" spans="1:14" ht="16.5" customHeight="1">
      <c r="A18" s="72" t="s">
        <v>167</v>
      </c>
      <c r="B18" s="72" t="s">
        <v>167</v>
      </c>
      <c r="C18" s="72" t="s">
        <v>169</v>
      </c>
      <c r="D18" s="80" t="s">
        <v>116</v>
      </c>
      <c r="E18" s="81">
        <v>611226</v>
      </c>
      <c r="F18" s="82" t="s">
        <v>215</v>
      </c>
      <c r="G18" s="77" t="s">
        <v>290</v>
      </c>
      <c r="H18" s="83">
        <v>7000</v>
      </c>
      <c r="I18" s="84">
        <v>4726.6000000000004</v>
      </c>
      <c r="J18" s="84">
        <v>4726.6000000000004</v>
      </c>
      <c r="K18" s="333">
        <v>5000</v>
      </c>
      <c r="L18" s="83">
        <f t="shared" si="1"/>
        <v>71.428571428571431</v>
      </c>
      <c r="M18" s="83">
        <f t="shared" si="2"/>
        <v>1.0578428468666694</v>
      </c>
      <c r="N18" s="85">
        <f t="shared" si="0"/>
        <v>3.1269480886592348E-4</v>
      </c>
    </row>
    <row r="19" spans="1:14" ht="16.5" customHeight="1">
      <c r="A19" s="72" t="s">
        <v>167</v>
      </c>
      <c r="B19" s="72" t="s">
        <v>167</v>
      </c>
      <c r="C19" s="72" t="s">
        <v>169</v>
      </c>
      <c r="D19" s="80" t="s">
        <v>116</v>
      </c>
      <c r="E19" s="81">
        <v>611227</v>
      </c>
      <c r="F19" s="82" t="s">
        <v>215</v>
      </c>
      <c r="G19" s="77" t="s">
        <v>291</v>
      </c>
      <c r="H19" s="83">
        <v>3400</v>
      </c>
      <c r="I19" s="84">
        <v>0</v>
      </c>
      <c r="J19" s="84">
        <v>3400</v>
      </c>
      <c r="K19" s="83">
        <v>3400</v>
      </c>
      <c r="L19" s="83">
        <f t="shared" si="1"/>
        <v>100</v>
      </c>
      <c r="M19" s="83">
        <f t="shared" si="2"/>
        <v>1</v>
      </c>
      <c r="N19" s="85">
        <f t="shared" si="0"/>
        <v>2.1263247002882796E-4</v>
      </c>
    </row>
    <row r="20" spans="1:14" ht="16.5" customHeight="1">
      <c r="A20" s="72" t="s">
        <v>167</v>
      </c>
      <c r="B20" s="72" t="s">
        <v>167</v>
      </c>
      <c r="C20" s="72" t="s">
        <v>169</v>
      </c>
      <c r="D20" s="80" t="s">
        <v>116</v>
      </c>
      <c r="E20" s="81">
        <v>612110</v>
      </c>
      <c r="F20" s="82" t="s">
        <v>215</v>
      </c>
      <c r="G20" s="77" t="s">
        <v>292</v>
      </c>
      <c r="H20" s="83">
        <v>0</v>
      </c>
      <c r="I20" s="84">
        <v>0</v>
      </c>
      <c r="J20" s="84">
        <v>0</v>
      </c>
      <c r="K20" s="83">
        <v>13988</v>
      </c>
      <c r="L20" s="83" t="e">
        <f t="shared" si="1"/>
        <v>#DIV/0!</v>
      </c>
      <c r="M20" s="83" t="e">
        <f t="shared" si="2"/>
        <v>#DIV/0!</v>
      </c>
      <c r="N20" s="85">
        <f t="shared" si="0"/>
        <v>8.747949972833075E-4</v>
      </c>
    </row>
    <row r="21" spans="1:14" ht="16.5" customHeight="1">
      <c r="A21" s="72" t="s">
        <v>167</v>
      </c>
      <c r="B21" s="72" t="s">
        <v>167</v>
      </c>
      <c r="C21" s="72" t="s">
        <v>169</v>
      </c>
      <c r="D21" s="80" t="s">
        <v>116</v>
      </c>
      <c r="E21" s="81">
        <v>612111</v>
      </c>
      <c r="F21" s="82" t="s">
        <v>215</v>
      </c>
      <c r="G21" s="77" t="s">
        <v>77</v>
      </c>
      <c r="H21" s="83">
        <v>13988</v>
      </c>
      <c r="I21" s="84">
        <v>8966.4500000000007</v>
      </c>
      <c r="J21" s="84">
        <v>11642</v>
      </c>
      <c r="K21" s="333">
        <v>0</v>
      </c>
      <c r="L21" s="83">
        <f t="shared" si="1"/>
        <v>0</v>
      </c>
      <c r="M21" s="83">
        <f t="shared" si="2"/>
        <v>0</v>
      </c>
      <c r="N21" s="85">
        <f t="shared" si="0"/>
        <v>0</v>
      </c>
    </row>
    <row r="22" spans="1:14" ht="16.5" customHeight="1">
      <c r="A22" s="72" t="s">
        <v>167</v>
      </c>
      <c r="B22" s="72" t="s">
        <v>167</v>
      </c>
      <c r="C22" s="72" t="s">
        <v>169</v>
      </c>
      <c r="D22" s="80" t="s">
        <v>116</v>
      </c>
      <c r="E22" s="81">
        <v>613115</v>
      </c>
      <c r="F22" s="82" t="s">
        <v>215</v>
      </c>
      <c r="G22" s="77" t="s">
        <v>297</v>
      </c>
      <c r="H22" s="83">
        <v>500</v>
      </c>
      <c r="I22" s="84">
        <v>278</v>
      </c>
      <c r="J22" s="84">
        <v>500</v>
      </c>
      <c r="K22" s="83">
        <v>500</v>
      </c>
      <c r="L22" s="83">
        <f t="shared" si="1"/>
        <v>100</v>
      </c>
      <c r="M22" s="83">
        <f t="shared" si="2"/>
        <v>1</v>
      </c>
      <c r="N22" s="85">
        <f t="shared" si="0"/>
        <v>3.1269480886592348E-5</v>
      </c>
    </row>
    <row r="23" spans="1:14" ht="15" customHeight="1">
      <c r="A23" s="72" t="s">
        <v>167</v>
      </c>
      <c r="B23" s="72" t="s">
        <v>167</v>
      </c>
      <c r="C23" s="72" t="s">
        <v>169</v>
      </c>
      <c r="D23" s="80" t="s">
        <v>116</v>
      </c>
      <c r="E23" s="81">
        <v>613417</v>
      </c>
      <c r="F23" s="82" t="s">
        <v>215</v>
      </c>
      <c r="G23" s="77" t="s">
        <v>86</v>
      </c>
      <c r="H23" s="83">
        <v>4000</v>
      </c>
      <c r="I23" s="84">
        <v>2157.35</v>
      </c>
      <c r="J23" s="84">
        <v>4000</v>
      </c>
      <c r="K23" s="83">
        <v>4000</v>
      </c>
      <c r="L23" s="83">
        <f t="shared" ref="L23:L223" si="3">K23/H23*100</f>
        <v>100</v>
      </c>
      <c r="M23" s="83">
        <f t="shared" si="2"/>
        <v>1</v>
      </c>
      <c r="N23" s="85">
        <f t="shared" si="0"/>
        <v>2.5015584709273879E-4</v>
      </c>
    </row>
    <row r="24" spans="1:14" ht="15.75" customHeight="1">
      <c r="A24" s="72" t="s">
        <v>167</v>
      </c>
      <c r="B24" s="72" t="s">
        <v>167</v>
      </c>
      <c r="C24" s="72" t="s">
        <v>169</v>
      </c>
      <c r="D24" s="80" t="s">
        <v>116</v>
      </c>
      <c r="E24" s="81">
        <v>613491</v>
      </c>
      <c r="F24" s="82" t="s">
        <v>215</v>
      </c>
      <c r="G24" s="77" t="s">
        <v>405</v>
      </c>
      <c r="H24" s="83">
        <v>400</v>
      </c>
      <c r="I24" s="84">
        <v>0</v>
      </c>
      <c r="J24" s="84">
        <v>400</v>
      </c>
      <c r="K24" s="83">
        <v>400</v>
      </c>
      <c r="L24" s="83">
        <f t="shared" si="3"/>
        <v>100</v>
      </c>
      <c r="M24" s="83">
        <f t="shared" si="2"/>
        <v>1</v>
      </c>
      <c r="N24" s="85">
        <f t="shared" si="0"/>
        <v>2.5015584709273878E-5</v>
      </c>
    </row>
    <row r="25" spans="1:14" ht="14.25" customHeight="1">
      <c r="A25" s="72" t="s">
        <v>167</v>
      </c>
      <c r="B25" s="72" t="s">
        <v>167</v>
      </c>
      <c r="C25" s="72" t="s">
        <v>169</v>
      </c>
      <c r="D25" s="80" t="s">
        <v>116</v>
      </c>
      <c r="E25" s="81">
        <v>613721</v>
      </c>
      <c r="F25" s="82" t="s">
        <v>215</v>
      </c>
      <c r="G25" s="340" t="s">
        <v>298</v>
      </c>
      <c r="H25" s="83">
        <v>30000</v>
      </c>
      <c r="I25" s="84">
        <v>0</v>
      </c>
      <c r="J25" s="335">
        <v>30000</v>
      </c>
      <c r="K25" s="333">
        <v>30000</v>
      </c>
      <c r="L25" s="83">
        <f t="shared" si="3"/>
        <v>100</v>
      </c>
      <c r="M25" s="83">
        <f t="shared" si="2"/>
        <v>1</v>
      </c>
      <c r="N25" s="85">
        <f t="shared" si="0"/>
        <v>1.8761688531955408E-3</v>
      </c>
    </row>
    <row r="26" spans="1:14" ht="15" customHeight="1">
      <c r="A26" s="72" t="s">
        <v>167</v>
      </c>
      <c r="B26" s="72" t="s">
        <v>167</v>
      </c>
      <c r="C26" s="72" t="s">
        <v>169</v>
      </c>
      <c r="D26" s="80" t="s">
        <v>116</v>
      </c>
      <c r="E26" s="81">
        <v>613814</v>
      </c>
      <c r="F26" s="82" t="s">
        <v>215</v>
      </c>
      <c r="G26" s="86" t="s">
        <v>299</v>
      </c>
      <c r="H26" s="83">
        <v>180</v>
      </c>
      <c r="I26" s="84">
        <v>178.1</v>
      </c>
      <c r="J26" s="84">
        <v>180</v>
      </c>
      <c r="K26" s="83">
        <v>180</v>
      </c>
      <c r="L26" s="83">
        <f t="shared" si="3"/>
        <v>100</v>
      </c>
      <c r="M26" s="83">
        <f t="shared" si="2"/>
        <v>1</v>
      </c>
      <c r="N26" s="85">
        <f t="shared" si="0"/>
        <v>1.1257013119173244E-5</v>
      </c>
    </row>
    <row r="27" spans="1:14" ht="15" customHeight="1">
      <c r="A27" s="72" t="s">
        <v>167</v>
      </c>
      <c r="B27" s="72" t="s">
        <v>167</v>
      </c>
      <c r="C27" s="72" t="s">
        <v>169</v>
      </c>
      <c r="D27" s="80" t="s">
        <v>511</v>
      </c>
      <c r="E27" s="81">
        <v>613912</v>
      </c>
      <c r="F27" s="82" t="s">
        <v>215</v>
      </c>
      <c r="G27" s="86" t="s">
        <v>300</v>
      </c>
      <c r="H27" s="83">
        <v>5000</v>
      </c>
      <c r="I27" s="84">
        <v>0</v>
      </c>
      <c r="J27" s="84">
        <v>5000</v>
      </c>
      <c r="K27" s="83">
        <v>5000</v>
      </c>
      <c r="L27" s="83">
        <f t="shared" si="3"/>
        <v>100</v>
      </c>
      <c r="M27" s="83">
        <f t="shared" si="2"/>
        <v>1</v>
      </c>
      <c r="N27" s="85">
        <f t="shared" si="0"/>
        <v>3.1269480886592348E-4</v>
      </c>
    </row>
    <row r="28" spans="1:14" ht="15" customHeight="1">
      <c r="A28" s="72" t="s">
        <v>167</v>
      </c>
      <c r="B28" s="72" t="s">
        <v>167</v>
      </c>
      <c r="C28" s="72" t="s">
        <v>169</v>
      </c>
      <c r="D28" s="80" t="s">
        <v>116</v>
      </c>
      <c r="E28" s="81">
        <v>613914</v>
      </c>
      <c r="F28" s="82" t="s">
        <v>215</v>
      </c>
      <c r="G28" s="86" t="s">
        <v>96</v>
      </c>
      <c r="H28" s="83">
        <v>7000</v>
      </c>
      <c r="I28" s="84">
        <v>4637.5</v>
      </c>
      <c r="J28" s="84">
        <v>7000</v>
      </c>
      <c r="K28" s="83">
        <v>7000</v>
      </c>
      <c r="L28" s="83">
        <f t="shared" si="3"/>
        <v>100</v>
      </c>
      <c r="M28" s="83">
        <f t="shared" si="2"/>
        <v>1</v>
      </c>
      <c r="N28" s="85">
        <f t="shared" si="0"/>
        <v>4.3777273241229288E-4</v>
      </c>
    </row>
    <row r="29" spans="1:14" ht="15" customHeight="1">
      <c r="A29" s="72" t="s">
        <v>167</v>
      </c>
      <c r="B29" s="72" t="s">
        <v>167</v>
      </c>
      <c r="C29" s="72" t="s">
        <v>169</v>
      </c>
      <c r="D29" s="80" t="s">
        <v>116</v>
      </c>
      <c r="E29" s="81">
        <v>613914</v>
      </c>
      <c r="F29" s="82" t="s">
        <v>215</v>
      </c>
      <c r="G29" s="86" t="s">
        <v>301</v>
      </c>
      <c r="H29" s="83">
        <v>2000</v>
      </c>
      <c r="I29" s="84">
        <v>2000</v>
      </c>
      <c r="J29" s="84">
        <v>2000</v>
      </c>
      <c r="K29" s="83">
        <v>0</v>
      </c>
      <c r="L29" s="83">
        <f t="shared" si="3"/>
        <v>0</v>
      </c>
      <c r="M29" s="83">
        <f t="shared" si="2"/>
        <v>0</v>
      </c>
      <c r="N29" s="85">
        <f t="shared" si="0"/>
        <v>0</v>
      </c>
    </row>
    <row r="30" spans="1:14" ht="15" customHeight="1">
      <c r="A30" s="72" t="s">
        <v>167</v>
      </c>
      <c r="B30" s="72" t="s">
        <v>167</v>
      </c>
      <c r="C30" s="72" t="s">
        <v>169</v>
      </c>
      <c r="D30" s="80" t="s">
        <v>116</v>
      </c>
      <c r="E30" s="81">
        <v>613917</v>
      </c>
      <c r="F30" s="82" t="s">
        <v>215</v>
      </c>
      <c r="G30" s="86" t="s">
        <v>302</v>
      </c>
      <c r="H30" s="83">
        <v>0</v>
      </c>
      <c r="I30" s="84">
        <v>0</v>
      </c>
      <c r="J30" s="84">
        <v>0</v>
      </c>
      <c r="K30" s="83">
        <v>2000</v>
      </c>
      <c r="L30" s="83" t="e">
        <f t="shared" si="3"/>
        <v>#DIV/0!</v>
      </c>
      <c r="M30" s="83" t="e">
        <f t="shared" si="2"/>
        <v>#DIV/0!</v>
      </c>
      <c r="N30" s="85">
        <f t="shared" si="0"/>
        <v>1.2507792354636939E-4</v>
      </c>
    </row>
    <row r="31" spans="1:14" ht="14.25" customHeight="1">
      <c r="A31" s="72" t="s">
        <v>167</v>
      </c>
      <c r="B31" s="72" t="s">
        <v>167</v>
      </c>
      <c r="C31" s="72" t="s">
        <v>169</v>
      </c>
      <c r="D31" s="80" t="s">
        <v>116</v>
      </c>
      <c r="E31" s="81">
        <v>613974</v>
      </c>
      <c r="F31" s="82" t="s">
        <v>215</v>
      </c>
      <c r="G31" s="86" t="s">
        <v>303</v>
      </c>
      <c r="H31" s="83">
        <v>0</v>
      </c>
      <c r="I31" s="84">
        <v>0</v>
      </c>
      <c r="J31" s="84">
        <v>0</v>
      </c>
      <c r="K31" s="83">
        <v>35000</v>
      </c>
      <c r="L31" s="83" t="e">
        <f t="shared" si="3"/>
        <v>#DIV/0!</v>
      </c>
      <c r="M31" s="83" t="e">
        <f t="shared" si="2"/>
        <v>#DIV/0!</v>
      </c>
      <c r="N31" s="85">
        <f t="shared" si="0"/>
        <v>2.1888636620614643E-3</v>
      </c>
    </row>
    <row r="32" spans="1:14" ht="13.5" customHeight="1">
      <c r="A32" s="72" t="s">
        <v>167</v>
      </c>
      <c r="B32" s="72" t="s">
        <v>167</v>
      </c>
      <c r="C32" s="72" t="s">
        <v>169</v>
      </c>
      <c r="D32" s="80" t="s">
        <v>116</v>
      </c>
      <c r="E32" s="81">
        <v>613975</v>
      </c>
      <c r="F32" s="82" t="s">
        <v>215</v>
      </c>
      <c r="G32" s="86" t="s">
        <v>304</v>
      </c>
      <c r="H32" s="83">
        <v>296000</v>
      </c>
      <c r="I32" s="84">
        <v>212846.13</v>
      </c>
      <c r="J32" s="84">
        <v>296000</v>
      </c>
      <c r="K32" s="83">
        <v>296000</v>
      </c>
      <c r="L32" s="83">
        <f t="shared" si="3"/>
        <v>100</v>
      </c>
      <c r="M32" s="83">
        <f t="shared" si="2"/>
        <v>1</v>
      </c>
      <c r="N32" s="85">
        <f t="shared" si="0"/>
        <v>1.8511532684862671E-2</v>
      </c>
    </row>
    <row r="33" spans="1:14" ht="15.75" customHeight="1">
      <c r="A33" s="72" t="s">
        <v>167</v>
      </c>
      <c r="B33" s="72" t="s">
        <v>167</v>
      </c>
      <c r="C33" s="72" t="s">
        <v>169</v>
      </c>
      <c r="D33" s="80" t="s">
        <v>116</v>
      </c>
      <c r="E33" s="81">
        <v>613975</v>
      </c>
      <c r="F33" s="82" t="s">
        <v>215</v>
      </c>
      <c r="G33" s="86" t="s">
        <v>305</v>
      </c>
      <c r="H33" s="83">
        <v>35000</v>
      </c>
      <c r="I33" s="84">
        <v>29209.61</v>
      </c>
      <c r="J33" s="84">
        <v>35000</v>
      </c>
      <c r="K33" s="83">
        <v>0</v>
      </c>
      <c r="L33" s="83">
        <f t="shared" si="3"/>
        <v>0</v>
      </c>
      <c r="M33" s="83">
        <f t="shared" si="2"/>
        <v>0</v>
      </c>
      <c r="N33" s="85">
        <f t="shared" si="0"/>
        <v>0</v>
      </c>
    </row>
    <row r="34" spans="1:14" ht="12">
      <c r="A34" s="65"/>
      <c r="B34" s="65"/>
      <c r="C34" s="65"/>
      <c r="D34" s="87"/>
      <c r="E34" s="74"/>
      <c r="F34" s="88"/>
      <c r="G34" s="79" t="s">
        <v>306</v>
      </c>
      <c r="H34" s="78">
        <f>SUM(H11:H33)</f>
        <v>547094</v>
      </c>
      <c r="I34" s="78">
        <f t="shared" ref="I34:K34" si="4">SUM(I11:I33)</f>
        <v>352875.97</v>
      </c>
      <c r="J34" s="78">
        <f>SUM(J11:J33)</f>
        <v>523331.6</v>
      </c>
      <c r="K34" s="78">
        <f t="shared" si="4"/>
        <v>549108</v>
      </c>
      <c r="L34" s="78">
        <f>K34/H34*100</f>
        <v>100.36812686668104</v>
      </c>
      <c r="M34" s="83">
        <f t="shared" si="2"/>
        <v>1.0492544306516174</v>
      </c>
      <c r="N34" s="89">
        <f t="shared" si="0"/>
        <v>3.43406442213499E-2</v>
      </c>
    </row>
    <row r="35" spans="1:14" ht="12">
      <c r="A35" s="65"/>
      <c r="B35" s="65"/>
      <c r="C35" s="65"/>
      <c r="D35" s="87"/>
      <c r="E35" s="74"/>
      <c r="F35" s="88"/>
      <c r="G35" s="79" t="s">
        <v>525</v>
      </c>
      <c r="H35" s="74">
        <v>4</v>
      </c>
      <c r="I35" s="74">
        <v>4</v>
      </c>
      <c r="J35" s="74">
        <v>4</v>
      </c>
      <c r="K35" s="74">
        <v>4</v>
      </c>
      <c r="L35" s="78"/>
      <c r="M35" s="83"/>
      <c r="N35" s="89"/>
    </row>
    <row r="36" spans="1:14" ht="11.4">
      <c r="A36" s="48"/>
      <c r="B36" s="48"/>
      <c r="C36" s="48"/>
      <c r="D36" s="49"/>
      <c r="E36" s="44"/>
      <c r="F36" s="50"/>
      <c r="G36" s="47"/>
      <c r="H36" s="45"/>
      <c r="I36" s="45"/>
      <c r="J36" s="45"/>
      <c r="K36" s="45"/>
      <c r="L36" s="45"/>
      <c r="M36" s="326"/>
      <c r="N36" s="46"/>
    </row>
    <row r="37" spans="1:14" ht="25.5" customHeight="1">
      <c r="A37" s="91" t="s">
        <v>170</v>
      </c>
      <c r="B37" s="92" t="s">
        <v>167</v>
      </c>
      <c r="C37" s="93"/>
      <c r="D37" s="94"/>
      <c r="E37" s="95"/>
      <c r="F37" s="96"/>
      <c r="G37" s="75" t="s">
        <v>534</v>
      </c>
      <c r="H37" s="78"/>
      <c r="I37" s="90"/>
      <c r="J37" s="90"/>
      <c r="K37" s="78"/>
      <c r="L37" s="83"/>
      <c r="M37" s="83"/>
      <c r="N37" s="85"/>
    </row>
    <row r="38" spans="1:14" ht="12">
      <c r="A38" s="65"/>
      <c r="B38" s="65"/>
      <c r="C38" s="65"/>
      <c r="D38" s="87"/>
      <c r="E38" s="74">
        <v>610000</v>
      </c>
      <c r="F38" s="88"/>
      <c r="G38" s="79" t="s">
        <v>168</v>
      </c>
      <c r="H38" s="78"/>
      <c r="I38" s="90"/>
      <c r="J38" s="90"/>
      <c r="K38" s="78"/>
      <c r="L38" s="83"/>
      <c r="M38" s="83"/>
      <c r="N38" s="85"/>
    </row>
    <row r="39" spans="1:14" ht="16.5" customHeight="1">
      <c r="A39" s="72" t="s">
        <v>171</v>
      </c>
      <c r="B39" s="72" t="s">
        <v>167</v>
      </c>
      <c r="C39" s="72" t="s">
        <v>169</v>
      </c>
      <c r="D39" s="80" t="s">
        <v>116</v>
      </c>
      <c r="E39" s="76">
        <v>611110</v>
      </c>
      <c r="F39" s="82" t="s">
        <v>215</v>
      </c>
      <c r="G39" s="77" t="s">
        <v>172</v>
      </c>
      <c r="H39" s="83">
        <v>0</v>
      </c>
      <c r="I39" s="84">
        <v>0</v>
      </c>
      <c r="J39" s="84">
        <v>0</v>
      </c>
      <c r="K39" s="83">
        <v>545150</v>
      </c>
      <c r="L39" s="83" t="e">
        <f t="shared" si="3"/>
        <v>#DIV/0!</v>
      </c>
      <c r="M39" s="83" t="e">
        <f t="shared" si="2"/>
        <v>#DIV/0!</v>
      </c>
      <c r="N39" s="85">
        <f t="shared" ref="N39:N70" si="5">K39/K$390</f>
        <v>3.4093115010651633E-2</v>
      </c>
    </row>
    <row r="40" spans="1:14" ht="16.5" customHeight="1">
      <c r="A40" s="72" t="s">
        <v>171</v>
      </c>
      <c r="B40" s="72" t="s">
        <v>167</v>
      </c>
      <c r="C40" s="72" t="s">
        <v>169</v>
      </c>
      <c r="D40" s="80" t="s">
        <v>116</v>
      </c>
      <c r="E40" s="76">
        <v>611111</v>
      </c>
      <c r="F40" s="82" t="s">
        <v>215</v>
      </c>
      <c r="G40" s="77" t="s">
        <v>307</v>
      </c>
      <c r="H40" s="83">
        <v>492100</v>
      </c>
      <c r="I40" s="84">
        <v>352794.15</v>
      </c>
      <c r="J40" s="84">
        <v>476788</v>
      </c>
      <c r="K40" s="83">
        <v>0</v>
      </c>
      <c r="L40" s="83">
        <f t="shared" ref="L40:L41" si="6">K40/H40*100</f>
        <v>0</v>
      </c>
      <c r="M40" s="83">
        <f t="shared" si="2"/>
        <v>0</v>
      </c>
      <c r="N40" s="85">
        <f t="shared" si="5"/>
        <v>0</v>
      </c>
    </row>
    <row r="41" spans="1:14" ht="15" customHeight="1">
      <c r="A41" s="72" t="s">
        <v>171</v>
      </c>
      <c r="B41" s="72" t="s">
        <v>167</v>
      </c>
      <c r="C41" s="72" t="s">
        <v>169</v>
      </c>
      <c r="D41" s="80" t="s">
        <v>116</v>
      </c>
      <c r="E41" s="76">
        <v>611130</v>
      </c>
      <c r="F41" s="82" t="s">
        <v>215</v>
      </c>
      <c r="G41" s="77" t="s">
        <v>308</v>
      </c>
      <c r="H41" s="83">
        <v>0</v>
      </c>
      <c r="I41" s="84">
        <v>0</v>
      </c>
      <c r="J41" s="84">
        <v>0</v>
      </c>
      <c r="K41" s="83">
        <v>244940</v>
      </c>
      <c r="L41" s="83" t="e">
        <f t="shared" si="6"/>
        <v>#DIV/0!</v>
      </c>
      <c r="M41" s="83" t="e">
        <f t="shared" si="2"/>
        <v>#DIV/0!</v>
      </c>
      <c r="N41" s="85">
        <f t="shared" si="5"/>
        <v>1.5318293296723859E-2</v>
      </c>
    </row>
    <row r="42" spans="1:14" ht="15" customHeight="1">
      <c r="A42" s="72" t="s">
        <v>171</v>
      </c>
      <c r="B42" s="72" t="s">
        <v>167</v>
      </c>
      <c r="C42" s="72" t="s">
        <v>169</v>
      </c>
      <c r="D42" s="80" t="s">
        <v>116</v>
      </c>
      <c r="E42" s="76">
        <v>611131</v>
      </c>
      <c r="F42" s="82" t="s">
        <v>215</v>
      </c>
      <c r="G42" s="77" t="s">
        <v>309</v>
      </c>
      <c r="H42" s="83">
        <v>221089</v>
      </c>
      <c r="I42" s="84">
        <v>158637.20000000001</v>
      </c>
      <c r="J42" s="84">
        <v>214221</v>
      </c>
      <c r="K42" s="83">
        <v>0</v>
      </c>
      <c r="L42" s="83">
        <f t="shared" si="3"/>
        <v>0</v>
      </c>
      <c r="M42" s="83">
        <f t="shared" si="2"/>
        <v>0</v>
      </c>
      <c r="N42" s="85">
        <f t="shared" si="5"/>
        <v>0</v>
      </c>
    </row>
    <row r="43" spans="1:14" ht="15" customHeight="1">
      <c r="A43" s="72" t="s">
        <v>171</v>
      </c>
      <c r="B43" s="72" t="s">
        <v>167</v>
      </c>
      <c r="C43" s="72" t="s">
        <v>169</v>
      </c>
      <c r="D43" s="80" t="s">
        <v>116</v>
      </c>
      <c r="E43" s="76">
        <v>611211</v>
      </c>
      <c r="F43" s="82" t="s">
        <v>215</v>
      </c>
      <c r="G43" s="77" t="s">
        <v>310</v>
      </c>
      <c r="H43" s="83">
        <v>18000</v>
      </c>
      <c r="I43" s="84">
        <v>10267.77</v>
      </c>
      <c r="J43" s="84">
        <v>13985</v>
      </c>
      <c r="K43" s="83">
        <v>16150</v>
      </c>
      <c r="L43" s="83">
        <f t="shared" si="3"/>
        <v>89.722222222222229</v>
      </c>
      <c r="M43" s="83">
        <f t="shared" si="2"/>
        <v>1.1548087236324633</v>
      </c>
      <c r="N43" s="85">
        <f t="shared" si="5"/>
        <v>1.0100042326369328E-3</v>
      </c>
    </row>
    <row r="44" spans="1:14" ht="15" customHeight="1">
      <c r="A44" s="72" t="s">
        <v>171</v>
      </c>
      <c r="B44" s="72" t="s">
        <v>167</v>
      </c>
      <c r="C44" s="72" t="s">
        <v>169</v>
      </c>
      <c r="D44" s="80" t="s">
        <v>116</v>
      </c>
      <c r="E44" s="76">
        <v>611221</v>
      </c>
      <c r="F44" s="82" t="s">
        <v>215</v>
      </c>
      <c r="G44" s="77" t="s">
        <v>289</v>
      </c>
      <c r="H44" s="83">
        <v>66528</v>
      </c>
      <c r="I44" s="84">
        <v>36256.9</v>
      </c>
      <c r="J44" s="84">
        <v>50056</v>
      </c>
      <c r="K44" s="83">
        <v>72070</v>
      </c>
      <c r="L44" s="83">
        <f t="shared" si="3"/>
        <v>108.33032708032708</v>
      </c>
      <c r="M44" s="83">
        <f t="shared" si="2"/>
        <v>1.4397874380693623</v>
      </c>
      <c r="N44" s="85">
        <f t="shared" si="5"/>
        <v>4.5071829749934213E-3</v>
      </c>
    </row>
    <row r="45" spans="1:14" ht="13.5" customHeight="1">
      <c r="A45" s="72" t="s">
        <v>171</v>
      </c>
      <c r="B45" s="72" t="s">
        <v>167</v>
      </c>
      <c r="C45" s="72" t="s">
        <v>169</v>
      </c>
      <c r="D45" s="80" t="s">
        <v>116</v>
      </c>
      <c r="E45" s="76">
        <v>611224</v>
      </c>
      <c r="F45" s="82" t="s">
        <v>215</v>
      </c>
      <c r="G45" s="77" t="s">
        <v>75</v>
      </c>
      <c r="H45" s="83">
        <v>12600</v>
      </c>
      <c r="I45" s="84">
        <v>11400</v>
      </c>
      <c r="J45" s="84">
        <v>11400</v>
      </c>
      <c r="K45" s="83">
        <v>13650</v>
      </c>
      <c r="L45" s="83">
        <f t="shared" si="3"/>
        <v>108.33333333333333</v>
      </c>
      <c r="M45" s="83">
        <f t="shared" si="2"/>
        <v>1.1973684210526316</v>
      </c>
      <c r="N45" s="85">
        <f t="shared" si="5"/>
        <v>8.5365682820397106E-4</v>
      </c>
    </row>
    <row r="46" spans="1:14" ht="15" customHeight="1">
      <c r="A46" s="72" t="s">
        <v>171</v>
      </c>
      <c r="B46" s="72" t="s">
        <v>167</v>
      </c>
      <c r="C46" s="72" t="s">
        <v>169</v>
      </c>
      <c r="D46" s="80" t="s">
        <v>116</v>
      </c>
      <c r="E46" s="76">
        <v>611225</v>
      </c>
      <c r="F46" s="82" t="s">
        <v>215</v>
      </c>
      <c r="G46" s="77" t="s">
        <v>179</v>
      </c>
      <c r="H46" s="83">
        <v>13500</v>
      </c>
      <c r="I46" s="84">
        <v>0</v>
      </c>
      <c r="J46" s="84">
        <v>0</v>
      </c>
      <c r="K46" s="83">
        <v>17900</v>
      </c>
      <c r="L46" s="83">
        <f t="shared" si="3"/>
        <v>132.59259259259261</v>
      </c>
      <c r="M46" s="83" t="e">
        <f t="shared" si="2"/>
        <v>#DIV/0!</v>
      </c>
      <c r="N46" s="85">
        <f t="shared" si="5"/>
        <v>1.119447415740006E-3</v>
      </c>
    </row>
    <row r="47" spans="1:14" ht="15" customHeight="1">
      <c r="A47" s="72" t="s">
        <v>171</v>
      </c>
      <c r="B47" s="72" t="s">
        <v>167</v>
      </c>
      <c r="C47" s="72" t="s">
        <v>169</v>
      </c>
      <c r="D47" s="80" t="s">
        <v>116</v>
      </c>
      <c r="E47" s="76">
        <v>611226</v>
      </c>
      <c r="F47" s="82" t="s">
        <v>215</v>
      </c>
      <c r="G47" s="86" t="s">
        <v>312</v>
      </c>
      <c r="H47" s="83">
        <v>20000</v>
      </c>
      <c r="I47" s="84">
        <v>13126.25</v>
      </c>
      <c r="J47" s="84">
        <v>20000</v>
      </c>
      <c r="K47" s="83">
        <v>0</v>
      </c>
      <c r="L47" s="83">
        <f t="shared" si="3"/>
        <v>0</v>
      </c>
      <c r="M47" s="83">
        <f t="shared" si="2"/>
        <v>0</v>
      </c>
      <c r="N47" s="85">
        <f t="shared" si="5"/>
        <v>0</v>
      </c>
    </row>
    <row r="48" spans="1:14" ht="15" customHeight="1">
      <c r="A48" s="72" t="s">
        <v>171</v>
      </c>
      <c r="B48" s="72" t="s">
        <v>167</v>
      </c>
      <c r="C48" s="72" t="s">
        <v>169</v>
      </c>
      <c r="D48" s="80" t="s">
        <v>116</v>
      </c>
      <c r="E48" s="76">
        <v>611226</v>
      </c>
      <c r="F48" s="82" t="s">
        <v>215</v>
      </c>
      <c r="G48" s="86" t="s">
        <v>313</v>
      </c>
      <c r="H48" s="83">
        <v>7500</v>
      </c>
      <c r="I48" s="84">
        <v>1999.55</v>
      </c>
      <c r="J48" s="84">
        <v>1999.55</v>
      </c>
      <c r="K48" s="83">
        <v>0</v>
      </c>
      <c r="L48" s="83">
        <f t="shared" si="3"/>
        <v>0</v>
      </c>
      <c r="M48" s="83">
        <f t="shared" si="2"/>
        <v>0</v>
      </c>
      <c r="N48" s="85">
        <f t="shared" si="5"/>
        <v>0</v>
      </c>
    </row>
    <row r="49" spans="1:14" ht="15" customHeight="1">
      <c r="A49" s="72" t="s">
        <v>171</v>
      </c>
      <c r="B49" s="72" t="s">
        <v>167</v>
      </c>
      <c r="C49" s="72" t="s">
        <v>169</v>
      </c>
      <c r="D49" s="80" t="s">
        <v>116</v>
      </c>
      <c r="E49" s="76">
        <v>611226</v>
      </c>
      <c r="F49" s="82" t="s">
        <v>215</v>
      </c>
      <c r="G49" s="86" t="s">
        <v>314</v>
      </c>
      <c r="H49" s="83">
        <v>10000</v>
      </c>
      <c r="I49" s="84">
        <v>10721.78</v>
      </c>
      <c r="J49" s="84">
        <v>10721.78</v>
      </c>
      <c r="K49" s="83">
        <v>0</v>
      </c>
      <c r="L49" s="83">
        <f t="shared" ref="L49" si="7">K49/H49*100</f>
        <v>0</v>
      </c>
      <c r="M49" s="83">
        <f t="shared" si="2"/>
        <v>0</v>
      </c>
      <c r="N49" s="85">
        <f t="shared" si="5"/>
        <v>0</v>
      </c>
    </row>
    <row r="50" spans="1:14" ht="15" customHeight="1">
      <c r="A50" s="72" t="s">
        <v>171</v>
      </c>
      <c r="B50" s="72" t="s">
        <v>167</v>
      </c>
      <c r="C50" s="72" t="s">
        <v>169</v>
      </c>
      <c r="D50" s="80" t="s">
        <v>116</v>
      </c>
      <c r="E50" s="76">
        <v>611227</v>
      </c>
      <c r="F50" s="82" t="s">
        <v>215</v>
      </c>
      <c r="G50" s="77" t="s">
        <v>291</v>
      </c>
      <c r="H50" s="83">
        <v>3400</v>
      </c>
      <c r="I50" s="84">
        <v>0</v>
      </c>
      <c r="J50" s="84">
        <v>3400</v>
      </c>
      <c r="K50" s="83">
        <v>3400</v>
      </c>
      <c r="L50" s="83">
        <f t="shared" si="3"/>
        <v>100</v>
      </c>
      <c r="M50" s="83">
        <f t="shared" si="2"/>
        <v>1</v>
      </c>
      <c r="N50" s="85">
        <f t="shared" si="5"/>
        <v>2.1263247002882796E-4</v>
      </c>
    </row>
    <row r="51" spans="1:14" ht="14.25" customHeight="1">
      <c r="A51" s="72" t="s">
        <v>171</v>
      </c>
      <c r="B51" s="72" t="s">
        <v>167</v>
      </c>
      <c r="C51" s="72" t="s">
        <v>169</v>
      </c>
      <c r="D51" s="80" t="s">
        <v>116</v>
      </c>
      <c r="E51" s="76">
        <v>612110</v>
      </c>
      <c r="F51" s="82" t="s">
        <v>215</v>
      </c>
      <c r="G51" s="77" t="s">
        <v>292</v>
      </c>
      <c r="H51" s="83">
        <v>0</v>
      </c>
      <c r="I51" s="84">
        <v>0</v>
      </c>
      <c r="J51" s="84">
        <v>0</v>
      </c>
      <c r="K51" s="83">
        <v>82960</v>
      </c>
      <c r="L51" s="83" t="e">
        <f t="shared" si="3"/>
        <v>#DIV/0!</v>
      </c>
      <c r="M51" s="83" t="e">
        <f t="shared" si="2"/>
        <v>#DIV/0!</v>
      </c>
      <c r="N51" s="85">
        <f t="shared" si="5"/>
        <v>5.1882322687034025E-3</v>
      </c>
    </row>
    <row r="52" spans="1:14" ht="15.6" customHeight="1">
      <c r="A52" s="72" t="s">
        <v>171</v>
      </c>
      <c r="B52" s="72" t="s">
        <v>167</v>
      </c>
      <c r="C52" s="72" t="s">
        <v>169</v>
      </c>
      <c r="D52" s="80" t="s">
        <v>116</v>
      </c>
      <c r="E52" s="76">
        <v>612211</v>
      </c>
      <c r="F52" s="82" t="s">
        <v>215</v>
      </c>
      <c r="G52" s="86" t="s">
        <v>77</v>
      </c>
      <c r="H52" s="83">
        <v>81269</v>
      </c>
      <c r="I52" s="84">
        <v>57980.26</v>
      </c>
      <c r="J52" s="84">
        <v>72556</v>
      </c>
      <c r="K52" s="83">
        <v>0</v>
      </c>
      <c r="L52" s="83">
        <f t="shared" si="3"/>
        <v>0</v>
      </c>
      <c r="M52" s="83">
        <f t="shared" si="2"/>
        <v>0</v>
      </c>
      <c r="N52" s="85">
        <f t="shared" si="5"/>
        <v>0</v>
      </c>
    </row>
    <row r="53" spans="1:14" ht="14.4" customHeight="1">
      <c r="A53" s="72" t="s">
        <v>171</v>
      </c>
      <c r="B53" s="72" t="s">
        <v>167</v>
      </c>
      <c r="C53" s="72" t="s">
        <v>169</v>
      </c>
      <c r="D53" s="80" t="s">
        <v>116</v>
      </c>
      <c r="E53" s="76">
        <v>613115</v>
      </c>
      <c r="F53" s="82" t="s">
        <v>215</v>
      </c>
      <c r="G53" s="77" t="s">
        <v>297</v>
      </c>
      <c r="H53" s="83">
        <v>15000</v>
      </c>
      <c r="I53" s="84">
        <v>3469.26</v>
      </c>
      <c r="J53" s="84">
        <v>5500</v>
      </c>
      <c r="K53" s="83">
        <v>15000</v>
      </c>
      <c r="L53" s="83">
        <f t="shared" si="3"/>
        <v>100</v>
      </c>
      <c r="M53" s="83">
        <f t="shared" si="2"/>
        <v>2.7272727272727271</v>
      </c>
      <c r="N53" s="85">
        <f t="shared" si="5"/>
        <v>9.380844265977704E-4</v>
      </c>
    </row>
    <row r="54" spans="1:14" ht="15" customHeight="1">
      <c r="A54" s="72" t="s">
        <v>171</v>
      </c>
      <c r="B54" s="72" t="s">
        <v>167</v>
      </c>
      <c r="C54" s="72" t="s">
        <v>169</v>
      </c>
      <c r="D54" s="80" t="s">
        <v>116</v>
      </c>
      <c r="E54" s="76">
        <v>613417</v>
      </c>
      <c r="F54" s="82" t="s">
        <v>215</v>
      </c>
      <c r="G54" s="77" t="s">
        <v>86</v>
      </c>
      <c r="H54" s="83">
        <v>20000</v>
      </c>
      <c r="I54" s="84">
        <v>7359.62</v>
      </c>
      <c r="J54" s="84">
        <v>12000</v>
      </c>
      <c r="K54" s="83">
        <v>20000</v>
      </c>
      <c r="L54" s="83">
        <f t="shared" si="3"/>
        <v>100</v>
      </c>
      <c r="M54" s="83">
        <f t="shared" si="2"/>
        <v>1.6666666666666667</v>
      </c>
      <c r="N54" s="85">
        <f t="shared" si="5"/>
        <v>1.2507792354636939E-3</v>
      </c>
    </row>
    <row r="55" spans="1:14" ht="14.4" customHeight="1">
      <c r="A55" s="72" t="s">
        <v>171</v>
      </c>
      <c r="B55" s="72" t="s">
        <v>167</v>
      </c>
      <c r="C55" s="72" t="s">
        <v>169</v>
      </c>
      <c r="D55" s="80" t="s">
        <v>116</v>
      </c>
      <c r="E55" s="81">
        <v>613814</v>
      </c>
      <c r="F55" s="82" t="s">
        <v>215</v>
      </c>
      <c r="G55" s="77" t="s">
        <v>299</v>
      </c>
      <c r="H55" s="83">
        <v>900</v>
      </c>
      <c r="I55" s="84">
        <v>1128</v>
      </c>
      <c r="J55" s="84">
        <v>1128</v>
      </c>
      <c r="K55" s="83">
        <v>1130</v>
      </c>
      <c r="L55" s="83">
        <f t="shared" si="3"/>
        <v>125.55555555555556</v>
      </c>
      <c r="M55" s="83">
        <f t="shared" si="2"/>
        <v>1.00177304964539</v>
      </c>
      <c r="N55" s="85">
        <f t="shared" si="5"/>
        <v>7.0669026803698703E-5</v>
      </c>
    </row>
    <row r="56" spans="1:14" ht="14.4" customHeight="1">
      <c r="A56" s="72" t="s">
        <v>171</v>
      </c>
      <c r="B56" s="72" t="s">
        <v>167</v>
      </c>
      <c r="C56" s="72" t="s">
        <v>169</v>
      </c>
      <c r="D56" s="80" t="s">
        <v>116</v>
      </c>
      <c r="E56" s="76">
        <v>613911</v>
      </c>
      <c r="F56" s="82" t="s">
        <v>215</v>
      </c>
      <c r="G56" s="86" t="s">
        <v>95</v>
      </c>
      <c r="H56" s="83">
        <v>0</v>
      </c>
      <c r="I56" s="84">
        <v>0</v>
      </c>
      <c r="J56" s="84">
        <v>0</v>
      </c>
      <c r="K56" s="83">
        <v>49140</v>
      </c>
      <c r="L56" s="83" t="e">
        <f t="shared" si="3"/>
        <v>#DIV/0!</v>
      </c>
      <c r="M56" s="83" t="e">
        <f t="shared" si="2"/>
        <v>#DIV/0!</v>
      </c>
      <c r="N56" s="85">
        <f t="shared" si="5"/>
        <v>3.0731645815342957E-3</v>
      </c>
    </row>
    <row r="57" spans="1:14" ht="15" customHeight="1">
      <c r="A57" s="72" t="s">
        <v>171</v>
      </c>
      <c r="B57" s="72" t="s">
        <v>167</v>
      </c>
      <c r="C57" s="72" t="s">
        <v>169</v>
      </c>
      <c r="D57" s="87" t="s">
        <v>511</v>
      </c>
      <c r="E57" s="76">
        <v>613912</v>
      </c>
      <c r="F57" s="82" t="s">
        <v>215</v>
      </c>
      <c r="G57" s="86" t="s">
        <v>300</v>
      </c>
      <c r="H57" s="83">
        <v>15000</v>
      </c>
      <c r="I57" s="84">
        <v>2272.62</v>
      </c>
      <c r="J57" s="84">
        <v>5000</v>
      </c>
      <c r="K57" s="83">
        <v>15000</v>
      </c>
      <c r="L57" s="83">
        <f t="shared" si="3"/>
        <v>100</v>
      </c>
      <c r="M57" s="83">
        <f t="shared" si="2"/>
        <v>3</v>
      </c>
      <c r="N57" s="85">
        <f t="shared" si="5"/>
        <v>9.380844265977704E-4</v>
      </c>
    </row>
    <row r="58" spans="1:14" ht="15" customHeight="1">
      <c r="A58" s="72" t="s">
        <v>171</v>
      </c>
      <c r="B58" s="72" t="s">
        <v>167</v>
      </c>
      <c r="C58" s="72" t="s">
        <v>169</v>
      </c>
      <c r="D58" s="80" t="s">
        <v>116</v>
      </c>
      <c r="E58" s="76">
        <v>613914</v>
      </c>
      <c r="F58" s="82" t="s">
        <v>215</v>
      </c>
      <c r="G58" s="86" t="s">
        <v>96</v>
      </c>
      <c r="H58" s="83">
        <v>30000</v>
      </c>
      <c r="I58" s="84">
        <v>19765.810000000001</v>
      </c>
      <c r="J58" s="84">
        <v>30000</v>
      </c>
      <c r="K58" s="83">
        <v>30000</v>
      </c>
      <c r="L58" s="83">
        <f t="shared" ref="L58:L59" si="8">K58/H58*100</f>
        <v>100</v>
      </c>
      <c r="M58" s="83">
        <f t="shared" si="2"/>
        <v>1</v>
      </c>
      <c r="N58" s="85">
        <f t="shared" si="5"/>
        <v>1.8761688531955408E-3</v>
      </c>
    </row>
    <row r="59" spans="1:14" ht="15" customHeight="1">
      <c r="A59" s="72" t="s">
        <v>171</v>
      </c>
      <c r="B59" s="72" t="s">
        <v>167</v>
      </c>
      <c r="C59" s="72" t="s">
        <v>169</v>
      </c>
      <c r="D59" s="80" t="s">
        <v>116</v>
      </c>
      <c r="E59" s="76">
        <v>613915</v>
      </c>
      <c r="F59" s="82" t="s">
        <v>215</v>
      </c>
      <c r="G59" s="86" t="s">
        <v>603</v>
      </c>
      <c r="H59" s="83">
        <v>85000</v>
      </c>
      <c r="I59" s="84">
        <v>48918.87</v>
      </c>
      <c r="J59" s="84">
        <v>85000</v>
      </c>
      <c r="K59" s="83">
        <v>50000</v>
      </c>
      <c r="L59" s="83">
        <f t="shared" si="8"/>
        <v>58.82352941176471</v>
      </c>
      <c r="M59" s="83">
        <f t="shared" si="2"/>
        <v>0.58823529411764708</v>
      </c>
      <c r="N59" s="85">
        <f t="shared" si="5"/>
        <v>3.1269480886592345E-3</v>
      </c>
    </row>
    <row r="60" spans="1:14" ht="15" customHeight="1">
      <c r="A60" s="72" t="s">
        <v>171</v>
      </c>
      <c r="B60" s="72" t="s">
        <v>167</v>
      </c>
      <c r="C60" s="72" t="s">
        <v>169</v>
      </c>
      <c r="D60" s="80" t="s">
        <v>116</v>
      </c>
      <c r="E60" s="76">
        <v>613915</v>
      </c>
      <c r="F60" s="82" t="s">
        <v>215</v>
      </c>
      <c r="G60" s="86" t="s">
        <v>318</v>
      </c>
      <c r="H60" s="83">
        <v>5000</v>
      </c>
      <c r="I60" s="84">
        <v>0</v>
      </c>
      <c r="J60" s="84">
        <v>5000</v>
      </c>
      <c r="K60" s="83">
        <v>0</v>
      </c>
      <c r="L60" s="83">
        <f t="shared" ref="L60" si="9">K60/H60*100</f>
        <v>0</v>
      </c>
      <c r="M60" s="83">
        <f t="shared" si="2"/>
        <v>0</v>
      </c>
      <c r="N60" s="85">
        <f t="shared" si="5"/>
        <v>0</v>
      </c>
    </row>
    <row r="61" spans="1:14" ht="15" customHeight="1">
      <c r="A61" s="72" t="s">
        <v>171</v>
      </c>
      <c r="B61" s="72" t="s">
        <v>167</v>
      </c>
      <c r="C61" s="72" t="s">
        <v>169</v>
      </c>
      <c r="D61" s="80" t="s">
        <v>116</v>
      </c>
      <c r="E61" s="76">
        <v>613915</v>
      </c>
      <c r="F61" s="82" t="s">
        <v>215</v>
      </c>
      <c r="G61" s="86" t="s">
        <v>319</v>
      </c>
      <c r="H61" s="83">
        <v>10000</v>
      </c>
      <c r="I61" s="84">
        <v>0</v>
      </c>
      <c r="J61" s="84">
        <v>10000</v>
      </c>
      <c r="K61" s="83">
        <v>0</v>
      </c>
      <c r="L61" s="83">
        <f t="shared" ref="L61:L66" si="10">K61/H61*100</f>
        <v>0</v>
      </c>
      <c r="M61" s="83">
        <f t="shared" si="2"/>
        <v>0</v>
      </c>
      <c r="N61" s="85">
        <f t="shared" si="5"/>
        <v>0</v>
      </c>
    </row>
    <row r="62" spans="1:14" ht="24.75" customHeight="1">
      <c r="A62" s="72" t="s">
        <v>171</v>
      </c>
      <c r="B62" s="72" t="s">
        <v>167</v>
      </c>
      <c r="C62" s="72" t="s">
        <v>169</v>
      </c>
      <c r="D62" s="80" t="s">
        <v>116</v>
      </c>
      <c r="E62" s="76">
        <v>613915</v>
      </c>
      <c r="F62" s="82" t="s">
        <v>215</v>
      </c>
      <c r="G62" s="86" t="s">
        <v>320</v>
      </c>
      <c r="H62" s="83">
        <v>5000</v>
      </c>
      <c r="I62" s="84">
        <v>0</v>
      </c>
      <c r="J62" s="84">
        <v>5000</v>
      </c>
      <c r="K62" s="83">
        <v>0</v>
      </c>
      <c r="L62" s="83">
        <f t="shared" ref="L62:L65" si="11">K62/H62*100</f>
        <v>0</v>
      </c>
      <c r="M62" s="83">
        <f t="shared" si="2"/>
        <v>0</v>
      </c>
      <c r="N62" s="85">
        <f t="shared" si="5"/>
        <v>0</v>
      </c>
    </row>
    <row r="63" spans="1:14" ht="15" customHeight="1">
      <c r="A63" s="72" t="s">
        <v>171</v>
      </c>
      <c r="B63" s="72" t="s">
        <v>167</v>
      </c>
      <c r="C63" s="72" t="s">
        <v>169</v>
      </c>
      <c r="D63" s="80" t="s">
        <v>116</v>
      </c>
      <c r="E63" s="76">
        <v>613916</v>
      </c>
      <c r="F63" s="82" t="s">
        <v>215</v>
      </c>
      <c r="G63" s="86" t="s">
        <v>321</v>
      </c>
      <c r="H63" s="83">
        <v>49140</v>
      </c>
      <c r="I63" s="84">
        <v>21820.5</v>
      </c>
      <c r="J63" s="84">
        <v>49140</v>
      </c>
      <c r="K63" s="83">
        <v>0</v>
      </c>
      <c r="L63" s="83">
        <f t="shared" si="11"/>
        <v>0</v>
      </c>
      <c r="M63" s="83">
        <f t="shared" si="2"/>
        <v>0</v>
      </c>
      <c r="N63" s="85">
        <f t="shared" si="5"/>
        <v>0</v>
      </c>
    </row>
    <row r="64" spans="1:14" ht="15" customHeight="1">
      <c r="A64" s="72" t="s">
        <v>171</v>
      </c>
      <c r="B64" s="72" t="s">
        <v>167</v>
      </c>
      <c r="C64" s="72" t="s">
        <v>169</v>
      </c>
      <c r="D64" s="87" t="s">
        <v>511</v>
      </c>
      <c r="E64" s="76">
        <v>613916</v>
      </c>
      <c r="F64" s="82" t="s">
        <v>215</v>
      </c>
      <c r="G64" s="86" t="s">
        <v>322</v>
      </c>
      <c r="H64" s="83">
        <v>30860</v>
      </c>
      <c r="I64" s="84">
        <v>26155.17</v>
      </c>
      <c r="J64" s="84">
        <v>30860</v>
      </c>
      <c r="K64" s="83">
        <v>30860</v>
      </c>
      <c r="L64" s="83">
        <f t="shared" si="11"/>
        <v>100</v>
      </c>
      <c r="M64" s="83">
        <f t="shared" si="2"/>
        <v>1</v>
      </c>
      <c r="N64" s="85">
        <f t="shared" si="5"/>
        <v>1.9299523603204796E-3</v>
      </c>
    </row>
    <row r="65" spans="1:14" ht="15" customHeight="1">
      <c r="A65" s="72" t="s">
        <v>171</v>
      </c>
      <c r="B65" s="72" t="s">
        <v>167</v>
      </c>
      <c r="C65" s="72" t="s">
        <v>169</v>
      </c>
      <c r="D65" s="80" t="s">
        <v>116</v>
      </c>
      <c r="E65" s="76">
        <v>613917</v>
      </c>
      <c r="F65" s="82" t="s">
        <v>215</v>
      </c>
      <c r="G65" s="86" t="s">
        <v>323</v>
      </c>
      <c r="H65" s="83">
        <v>6000</v>
      </c>
      <c r="I65" s="84">
        <v>2745.4</v>
      </c>
      <c r="J65" s="84">
        <v>5000</v>
      </c>
      <c r="K65" s="83">
        <v>6000</v>
      </c>
      <c r="L65" s="83">
        <f t="shared" si="11"/>
        <v>100</v>
      </c>
      <c r="M65" s="83">
        <f t="shared" si="2"/>
        <v>1.2</v>
      </c>
      <c r="N65" s="85">
        <f t="shared" si="5"/>
        <v>3.7523377063910818E-4</v>
      </c>
    </row>
    <row r="66" spans="1:14" ht="15" customHeight="1">
      <c r="A66" s="72" t="s">
        <v>171</v>
      </c>
      <c r="B66" s="72" t="s">
        <v>167</v>
      </c>
      <c r="C66" s="72" t="s">
        <v>169</v>
      </c>
      <c r="D66" s="80" t="s">
        <v>116</v>
      </c>
      <c r="E66" s="76">
        <v>613918</v>
      </c>
      <c r="F66" s="82" t="s">
        <v>215</v>
      </c>
      <c r="G66" s="86" t="s">
        <v>324</v>
      </c>
      <c r="H66" s="83">
        <v>3000</v>
      </c>
      <c r="I66" s="84">
        <v>0</v>
      </c>
      <c r="J66" s="84">
        <v>3000</v>
      </c>
      <c r="K66" s="83">
        <v>3000</v>
      </c>
      <c r="L66" s="83">
        <f t="shared" si="10"/>
        <v>100</v>
      </c>
      <c r="M66" s="83">
        <f t="shared" si="2"/>
        <v>1</v>
      </c>
      <c r="N66" s="85">
        <f t="shared" si="5"/>
        <v>1.8761688531955409E-4</v>
      </c>
    </row>
    <row r="67" spans="1:14" ht="15" customHeight="1">
      <c r="A67" s="72" t="s">
        <v>171</v>
      </c>
      <c r="B67" s="72" t="s">
        <v>167</v>
      </c>
      <c r="C67" s="72" t="s">
        <v>169</v>
      </c>
      <c r="D67" s="87" t="s">
        <v>506</v>
      </c>
      <c r="E67" s="76">
        <v>613923</v>
      </c>
      <c r="F67" s="82" t="s">
        <v>215</v>
      </c>
      <c r="G67" s="86" t="s">
        <v>325</v>
      </c>
      <c r="H67" s="83">
        <v>7000</v>
      </c>
      <c r="I67" s="84">
        <v>3566.03</v>
      </c>
      <c r="J67" s="84">
        <v>5000</v>
      </c>
      <c r="K67" s="83">
        <v>5000</v>
      </c>
      <c r="L67" s="83">
        <f t="shared" ref="L67" si="12">K67/H67*100</f>
        <v>71.428571428571431</v>
      </c>
      <c r="M67" s="83">
        <f t="shared" si="2"/>
        <v>1</v>
      </c>
      <c r="N67" s="85">
        <f t="shared" si="5"/>
        <v>3.1269480886592348E-4</v>
      </c>
    </row>
    <row r="68" spans="1:14" ht="15" customHeight="1">
      <c r="A68" s="72" t="s">
        <v>171</v>
      </c>
      <c r="B68" s="72" t="s">
        <v>167</v>
      </c>
      <c r="C68" s="72" t="s">
        <v>169</v>
      </c>
      <c r="D68" s="80" t="s">
        <v>116</v>
      </c>
      <c r="E68" s="76">
        <v>613937</v>
      </c>
      <c r="F68" s="82" t="s">
        <v>215</v>
      </c>
      <c r="G68" s="86" t="s">
        <v>175</v>
      </c>
      <c r="H68" s="83">
        <v>0</v>
      </c>
      <c r="I68" s="84">
        <v>0</v>
      </c>
      <c r="J68" s="84">
        <v>0</v>
      </c>
      <c r="K68" s="83">
        <v>8000</v>
      </c>
      <c r="L68" s="83" t="e">
        <f t="shared" ref="L68" si="13">K68/H68*100</f>
        <v>#DIV/0!</v>
      </c>
      <c r="M68" s="83" t="e">
        <f t="shared" si="2"/>
        <v>#DIV/0!</v>
      </c>
      <c r="N68" s="85">
        <f t="shared" si="5"/>
        <v>5.0031169418547758E-4</v>
      </c>
    </row>
    <row r="69" spans="1:14" ht="15" customHeight="1">
      <c r="A69" s="72" t="s">
        <v>171</v>
      </c>
      <c r="B69" s="72" t="s">
        <v>167</v>
      </c>
      <c r="C69" s="72" t="s">
        <v>169</v>
      </c>
      <c r="D69" s="80" t="s">
        <v>116</v>
      </c>
      <c r="E69" s="76">
        <v>613962</v>
      </c>
      <c r="F69" s="82" t="s">
        <v>215</v>
      </c>
      <c r="G69" s="86" t="s">
        <v>326</v>
      </c>
      <c r="H69" s="83">
        <v>40000</v>
      </c>
      <c r="I69" s="84">
        <v>16324.32</v>
      </c>
      <c r="J69" s="84">
        <v>40000</v>
      </c>
      <c r="K69" s="83">
        <v>40000</v>
      </c>
      <c r="L69" s="83">
        <f t="shared" ref="L69" si="14">K69/H69*100</f>
        <v>100</v>
      </c>
      <c r="M69" s="83">
        <f t="shared" si="2"/>
        <v>1</v>
      </c>
      <c r="N69" s="85">
        <f t="shared" si="5"/>
        <v>2.5015584709273879E-3</v>
      </c>
    </row>
    <row r="70" spans="1:14" ht="15" customHeight="1">
      <c r="A70" s="72" t="s">
        <v>171</v>
      </c>
      <c r="B70" s="72" t="s">
        <v>167</v>
      </c>
      <c r="C70" s="72" t="s">
        <v>169</v>
      </c>
      <c r="D70" s="80" t="s">
        <v>116</v>
      </c>
      <c r="E70" s="76">
        <v>613974</v>
      </c>
      <c r="F70" s="82" t="s">
        <v>215</v>
      </c>
      <c r="G70" s="86" t="s">
        <v>327</v>
      </c>
      <c r="H70" s="83">
        <v>15000</v>
      </c>
      <c r="I70" s="84">
        <v>11301.74</v>
      </c>
      <c r="J70" s="84">
        <v>15000</v>
      </c>
      <c r="K70" s="83">
        <v>15000</v>
      </c>
      <c r="L70" s="83">
        <f t="shared" ref="L70:L132" si="15">K70/H70*100</f>
        <v>100</v>
      </c>
      <c r="M70" s="83">
        <f t="shared" si="2"/>
        <v>1</v>
      </c>
      <c r="N70" s="85">
        <f t="shared" si="5"/>
        <v>9.380844265977704E-4</v>
      </c>
    </row>
    <row r="71" spans="1:14" ht="15" customHeight="1">
      <c r="A71" s="72" t="s">
        <v>171</v>
      </c>
      <c r="B71" s="72" t="s">
        <v>167</v>
      </c>
      <c r="C71" s="72" t="s">
        <v>169</v>
      </c>
      <c r="D71" s="80" t="s">
        <v>116</v>
      </c>
      <c r="E71" s="76">
        <v>613974</v>
      </c>
      <c r="F71" s="82" t="s">
        <v>215</v>
      </c>
      <c r="G71" s="86" t="s">
        <v>328</v>
      </c>
      <c r="H71" s="83">
        <v>32000</v>
      </c>
      <c r="I71" s="84">
        <v>27020.53</v>
      </c>
      <c r="J71" s="84">
        <v>32000</v>
      </c>
      <c r="K71" s="83">
        <v>27000</v>
      </c>
      <c r="L71" s="83">
        <f t="shared" si="15"/>
        <v>84.375</v>
      </c>
      <c r="M71" s="83">
        <f t="shared" si="2"/>
        <v>0.84375</v>
      </c>
      <c r="N71" s="85">
        <f t="shared" ref="N71:N102" si="16">K71/K$390</f>
        <v>1.6885519678759868E-3</v>
      </c>
    </row>
    <row r="72" spans="1:14" ht="15" customHeight="1">
      <c r="A72" s="72" t="s">
        <v>171</v>
      </c>
      <c r="B72" s="72" t="s">
        <v>167</v>
      </c>
      <c r="C72" s="72" t="s">
        <v>169</v>
      </c>
      <c r="D72" s="80" t="s">
        <v>116</v>
      </c>
      <c r="E72" s="76">
        <v>613974</v>
      </c>
      <c r="F72" s="82" t="s">
        <v>215</v>
      </c>
      <c r="G72" s="86" t="s">
        <v>339</v>
      </c>
      <c r="H72" s="83">
        <v>0</v>
      </c>
      <c r="I72" s="84">
        <v>0</v>
      </c>
      <c r="J72" s="84">
        <v>0</v>
      </c>
      <c r="K72" s="83">
        <v>79980</v>
      </c>
      <c r="L72" s="83" t="e">
        <f t="shared" ref="L72" si="17">K72/H72*100</f>
        <v>#DIV/0!</v>
      </c>
      <c r="M72" s="83" t="e">
        <f t="shared" si="2"/>
        <v>#DIV/0!</v>
      </c>
      <c r="N72" s="85">
        <f t="shared" si="16"/>
        <v>5.0018661626193119E-3</v>
      </c>
    </row>
    <row r="73" spans="1:14" ht="15" customHeight="1">
      <c r="A73" s="72" t="s">
        <v>171</v>
      </c>
      <c r="B73" s="72" t="s">
        <v>167</v>
      </c>
      <c r="C73" s="72" t="s">
        <v>169</v>
      </c>
      <c r="D73" s="80" t="s">
        <v>116</v>
      </c>
      <c r="E73" s="76">
        <v>613974</v>
      </c>
      <c r="F73" s="82" t="s">
        <v>215</v>
      </c>
      <c r="G73" s="86" t="s">
        <v>329</v>
      </c>
      <c r="H73" s="83">
        <v>10000</v>
      </c>
      <c r="I73" s="84">
        <v>5618.73</v>
      </c>
      <c r="J73" s="84">
        <v>8000</v>
      </c>
      <c r="K73" s="83">
        <v>10000</v>
      </c>
      <c r="L73" s="83">
        <f t="shared" si="15"/>
        <v>100</v>
      </c>
      <c r="M73" s="83">
        <f t="shared" ref="M73:M131" si="18">K73/J73</f>
        <v>1.25</v>
      </c>
      <c r="N73" s="85">
        <f t="shared" si="16"/>
        <v>6.2538961773184697E-4</v>
      </c>
    </row>
    <row r="74" spans="1:14" ht="15" customHeight="1">
      <c r="A74" s="72" t="s">
        <v>171</v>
      </c>
      <c r="B74" s="72" t="s">
        <v>167</v>
      </c>
      <c r="C74" s="72" t="s">
        <v>169</v>
      </c>
      <c r="D74" s="80" t="s">
        <v>116</v>
      </c>
      <c r="E74" s="76">
        <v>613991</v>
      </c>
      <c r="F74" s="82" t="s">
        <v>215</v>
      </c>
      <c r="G74" s="86" t="s">
        <v>314</v>
      </c>
      <c r="H74" s="83">
        <v>0</v>
      </c>
      <c r="I74" s="84">
        <v>0</v>
      </c>
      <c r="J74" s="84">
        <v>0</v>
      </c>
      <c r="K74" s="83">
        <v>10000</v>
      </c>
      <c r="L74" s="83" t="e">
        <f>K74/H74*100</f>
        <v>#DIV/0!</v>
      </c>
      <c r="M74" s="83" t="e">
        <f t="shared" si="18"/>
        <v>#DIV/0!</v>
      </c>
      <c r="N74" s="85">
        <f t="shared" si="16"/>
        <v>6.2538961773184697E-4</v>
      </c>
    </row>
    <row r="75" spans="1:14" ht="15" customHeight="1">
      <c r="A75" s="72" t="s">
        <v>171</v>
      </c>
      <c r="B75" s="72" t="s">
        <v>167</v>
      </c>
      <c r="C75" s="72" t="s">
        <v>169</v>
      </c>
      <c r="D75" s="80" t="s">
        <v>116</v>
      </c>
      <c r="E75" s="76">
        <v>613991</v>
      </c>
      <c r="F75" s="82" t="s">
        <v>215</v>
      </c>
      <c r="G75" s="86" t="s">
        <v>315</v>
      </c>
      <c r="H75" s="83">
        <v>0</v>
      </c>
      <c r="I75" s="84">
        <v>0</v>
      </c>
      <c r="J75" s="84">
        <v>0</v>
      </c>
      <c r="K75" s="83">
        <v>20000</v>
      </c>
      <c r="L75" s="83" t="e">
        <f>K75/H75*100</f>
        <v>#DIV/0!</v>
      </c>
      <c r="M75" s="83" t="e">
        <f t="shared" si="18"/>
        <v>#DIV/0!</v>
      </c>
      <c r="N75" s="85">
        <f t="shared" si="16"/>
        <v>1.2507792354636939E-3</v>
      </c>
    </row>
    <row r="76" spans="1:14" ht="15" customHeight="1">
      <c r="A76" s="72" t="s">
        <v>171</v>
      </c>
      <c r="B76" s="72" t="s">
        <v>167</v>
      </c>
      <c r="C76" s="72" t="s">
        <v>169</v>
      </c>
      <c r="D76" s="80" t="s">
        <v>116</v>
      </c>
      <c r="E76" s="76">
        <v>613991</v>
      </c>
      <c r="F76" s="82" t="s">
        <v>215</v>
      </c>
      <c r="G76" s="86" t="s">
        <v>316</v>
      </c>
      <c r="H76" s="83">
        <v>0</v>
      </c>
      <c r="I76" s="84">
        <v>0</v>
      </c>
      <c r="J76" s="84">
        <v>0</v>
      </c>
      <c r="K76" s="83">
        <v>7500</v>
      </c>
      <c r="L76" s="83" t="e">
        <f>K76/H76*100</f>
        <v>#DIV/0!</v>
      </c>
      <c r="M76" s="83" t="e">
        <f t="shared" si="18"/>
        <v>#DIV/0!</v>
      </c>
      <c r="N76" s="85">
        <f t="shared" si="16"/>
        <v>4.690422132988852E-4</v>
      </c>
    </row>
    <row r="77" spans="1:14" ht="15" customHeight="1">
      <c r="A77" s="72" t="s">
        <v>171</v>
      </c>
      <c r="B77" s="72" t="s">
        <v>167</v>
      </c>
      <c r="C77" s="72" t="s">
        <v>169</v>
      </c>
      <c r="D77" s="87" t="s">
        <v>512</v>
      </c>
      <c r="E77" s="76">
        <v>614121</v>
      </c>
      <c r="F77" s="82" t="s">
        <v>215</v>
      </c>
      <c r="G77" s="86" t="s">
        <v>330</v>
      </c>
      <c r="H77" s="83">
        <v>10000</v>
      </c>
      <c r="I77" s="84">
        <v>5000</v>
      </c>
      <c r="J77" s="84">
        <v>10000</v>
      </c>
      <c r="K77" s="83">
        <v>10000</v>
      </c>
      <c r="L77" s="83">
        <f t="shared" si="15"/>
        <v>100</v>
      </c>
      <c r="M77" s="83">
        <f t="shared" si="18"/>
        <v>1</v>
      </c>
      <c r="N77" s="85">
        <f t="shared" si="16"/>
        <v>6.2538961773184697E-4</v>
      </c>
    </row>
    <row r="78" spans="1:14" ht="15" customHeight="1">
      <c r="A78" s="72" t="s">
        <v>171</v>
      </c>
      <c r="B78" s="72" t="s">
        <v>167</v>
      </c>
      <c r="C78" s="72" t="s">
        <v>169</v>
      </c>
      <c r="D78" s="87" t="s">
        <v>512</v>
      </c>
      <c r="E78" s="76">
        <v>614121</v>
      </c>
      <c r="F78" s="82" t="s">
        <v>215</v>
      </c>
      <c r="G78" s="86" t="s">
        <v>331</v>
      </c>
      <c r="H78" s="83">
        <v>5000</v>
      </c>
      <c r="I78" s="84">
        <v>0</v>
      </c>
      <c r="J78" s="84">
        <v>5000</v>
      </c>
      <c r="K78" s="83">
        <v>0</v>
      </c>
      <c r="L78" s="83">
        <f t="shared" ref="L78" si="19">K78/H78*100</f>
        <v>0</v>
      </c>
      <c r="M78" s="83">
        <f t="shared" si="18"/>
        <v>0</v>
      </c>
      <c r="N78" s="85">
        <f t="shared" si="16"/>
        <v>0</v>
      </c>
    </row>
    <row r="79" spans="1:14" ht="15" customHeight="1">
      <c r="A79" s="72" t="s">
        <v>171</v>
      </c>
      <c r="B79" s="72" t="s">
        <v>167</v>
      </c>
      <c r="C79" s="72" t="s">
        <v>169</v>
      </c>
      <c r="D79" s="87" t="s">
        <v>512</v>
      </c>
      <c r="E79" s="76">
        <v>614121</v>
      </c>
      <c r="F79" s="82" t="s">
        <v>215</v>
      </c>
      <c r="G79" s="86" t="s">
        <v>332</v>
      </c>
      <c r="H79" s="83">
        <v>5000</v>
      </c>
      <c r="I79" s="84">
        <v>5000</v>
      </c>
      <c r="J79" s="84">
        <v>5000</v>
      </c>
      <c r="K79" s="83">
        <v>0</v>
      </c>
      <c r="L79" s="83">
        <f t="shared" ref="L79:L106" si="20">K79/H79*100</f>
        <v>0</v>
      </c>
      <c r="M79" s="83">
        <f t="shared" si="18"/>
        <v>0</v>
      </c>
      <c r="N79" s="85">
        <f t="shared" si="16"/>
        <v>0</v>
      </c>
    </row>
    <row r="80" spans="1:14" ht="15" customHeight="1">
      <c r="A80" s="72" t="s">
        <v>171</v>
      </c>
      <c r="B80" s="72" t="s">
        <v>167</v>
      </c>
      <c r="C80" s="72" t="s">
        <v>169</v>
      </c>
      <c r="D80" s="87" t="s">
        <v>512</v>
      </c>
      <c r="E80" s="76">
        <v>614121</v>
      </c>
      <c r="F80" s="82" t="s">
        <v>215</v>
      </c>
      <c r="G80" s="86" t="s">
        <v>346</v>
      </c>
      <c r="H80" s="83">
        <v>0</v>
      </c>
      <c r="I80" s="84">
        <v>0</v>
      </c>
      <c r="J80" s="84">
        <v>0</v>
      </c>
      <c r="K80" s="83">
        <v>309000</v>
      </c>
      <c r="L80" s="83" t="e">
        <f t="shared" ref="L80" si="21">K80/H80*100</f>
        <v>#DIV/0!</v>
      </c>
      <c r="M80" s="83" t="e">
        <f t="shared" si="18"/>
        <v>#DIV/0!</v>
      </c>
      <c r="N80" s="85">
        <f t="shared" si="16"/>
        <v>1.9324539187914071E-2</v>
      </c>
    </row>
    <row r="81" spans="1:14" ht="15" customHeight="1">
      <c r="A81" s="72" t="s">
        <v>171</v>
      </c>
      <c r="B81" s="72" t="s">
        <v>167</v>
      </c>
      <c r="C81" s="72" t="s">
        <v>169</v>
      </c>
      <c r="D81" s="87" t="s">
        <v>513</v>
      </c>
      <c r="E81" s="76">
        <v>614122</v>
      </c>
      <c r="F81" s="82" t="s">
        <v>215</v>
      </c>
      <c r="G81" s="86" t="s">
        <v>333</v>
      </c>
      <c r="H81" s="83">
        <v>220000</v>
      </c>
      <c r="I81" s="84">
        <v>166021.85</v>
      </c>
      <c r="J81" s="84">
        <v>220000</v>
      </c>
      <c r="K81" s="83">
        <v>0</v>
      </c>
      <c r="L81" s="83">
        <f t="shared" si="20"/>
        <v>0</v>
      </c>
      <c r="M81" s="83">
        <f t="shared" si="18"/>
        <v>0</v>
      </c>
      <c r="N81" s="85">
        <f t="shared" si="16"/>
        <v>0</v>
      </c>
    </row>
    <row r="82" spans="1:14" ht="15" customHeight="1">
      <c r="A82" s="72" t="s">
        <v>171</v>
      </c>
      <c r="B82" s="72" t="s">
        <v>167</v>
      </c>
      <c r="C82" s="72" t="s">
        <v>169</v>
      </c>
      <c r="D82" s="87" t="s">
        <v>513</v>
      </c>
      <c r="E82" s="76">
        <v>614122</v>
      </c>
      <c r="F82" s="82" t="s">
        <v>215</v>
      </c>
      <c r="G82" s="86" t="s">
        <v>334</v>
      </c>
      <c r="H82" s="83">
        <v>0</v>
      </c>
      <c r="I82" s="84">
        <v>0</v>
      </c>
      <c r="J82" s="84">
        <v>0</v>
      </c>
      <c r="K82" s="83">
        <v>180000</v>
      </c>
      <c r="L82" s="83" t="e">
        <f t="shared" si="20"/>
        <v>#DIV/0!</v>
      </c>
      <c r="M82" s="83" t="e">
        <f t="shared" si="18"/>
        <v>#DIV/0!</v>
      </c>
      <c r="N82" s="85">
        <f t="shared" si="16"/>
        <v>1.1257013119173246E-2</v>
      </c>
    </row>
    <row r="83" spans="1:14" ht="15" customHeight="1">
      <c r="A83" s="72" t="s">
        <v>171</v>
      </c>
      <c r="B83" s="72" t="s">
        <v>167</v>
      </c>
      <c r="C83" s="72" t="s">
        <v>169</v>
      </c>
      <c r="D83" s="87" t="s">
        <v>513</v>
      </c>
      <c r="E83" s="76">
        <v>614122</v>
      </c>
      <c r="F83" s="82" t="s">
        <v>215</v>
      </c>
      <c r="G83" s="86" t="s">
        <v>335</v>
      </c>
      <c r="H83" s="83">
        <v>0</v>
      </c>
      <c r="I83" s="84">
        <v>0</v>
      </c>
      <c r="J83" s="84">
        <v>0</v>
      </c>
      <c r="K83" s="83">
        <v>50000</v>
      </c>
      <c r="L83" s="83" t="e">
        <f t="shared" si="20"/>
        <v>#DIV/0!</v>
      </c>
      <c r="M83" s="83" t="e">
        <f t="shared" si="18"/>
        <v>#DIV/0!</v>
      </c>
      <c r="N83" s="85">
        <f t="shared" si="16"/>
        <v>3.1269480886592345E-3</v>
      </c>
    </row>
    <row r="84" spans="1:14" ht="15" customHeight="1">
      <c r="A84" s="72" t="s">
        <v>171</v>
      </c>
      <c r="B84" s="72" t="s">
        <v>167</v>
      </c>
      <c r="C84" s="72" t="s">
        <v>169</v>
      </c>
      <c r="D84" s="87" t="s">
        <v>513</v>
      </c>
      <c r="E84" s="76">
        <v>614122</v>
      </c>
      <c r="F84" s="82" t="s">
        <v>215</v>
      </c>
      <c r="G84" s="86" t="s">
        <v>602</v>
      </c>
      <c r="H84" s="83">
        <v>30000</v>
      </c>
      <c r="I84" s="84">
        <v>30000</v>
      </c>
      <c r="J84" s="84">
        <v>30000</v>
      </c>
      <c r="K84" s="83">
        <v>30000</v>
      </c>
      <c r="L84" s="83">
        <f t="shared" si="20"/>
        <v>100</v>
      </c>
      <c r="M84" s="83">
        <f t="shared" si="18"/>
        <v>1</v>
      </c>
      <c r="N84" s="85">
        <f t="shared" si="16"/>
        <v>1.8761688531955408E-3</v>
      </c>
    </row>
    <row r="85" spans="1:14" ht="15" customHeight="1">
      <c r="A85" s="72" t="s">
        <v>171</v>
      </c>
      <c r="B85" s="72" t="s">
        <v>167</v>
      </c>
      <c r="C85" s="72" t="s">
        <v>169</v>
      </c>
      <c r="D85" s="87" t="s">
        <v>513</v>
      </c>
      <c r="E85" s="76">
        <v>614122</v>
      </c>
      <c r="F85" s="82" t="s">
        <v>215</v>
      </c>
      <c r="G85" s="86" t="s">
        <v>336</v>
      </c>
      <c r="H85" s="83">
        <v>30000</v>
      </c>
      <c r="I85" s="84">
        <v>24000</v>
      </c>
      <c r="J85" s="84">
        <v>30000</v>
      </c>
      <c r="K85" s="83">
        <v>30000</v>
      </c>
      <c r="L85" s="83">
        <f t="shared" si="20"/>
        <v>100</v>
      </c>
      <c r="M85" s="83">
        <f t="shared" si="18"/>
        <v>1</v>
      </c>
      <c r="N85" s="85">
        <f t="shared" si="16"/>
        <v>1.8761688531955408E-3</v>
      </c>
    </row>
    <row r="86" spans="1:14" ht="15" customHeight="1">
      <c r="A86" s="72" t="s">
        <v>171</v>
      </c>
      <c r="B86" s="72" t="s">
        <v>167</v>
      </c>
      <c r="C86" s="72" t="s">
        <v>169</v>
      </c>
      <c r="D86" s="87" t="s">
        <v>513</v>
      </c>
      <c r="E86" s="76">
        <v>614122</v>
      </c>
      <c r="F86" s="82" t="s">
        <v>215</v>
      </c>
      <c r="G86" s="86" t="s">
        <v>526</v>
      </c>
      <c r="H86" s="83">
        <v>10000</v>
      </c>
      <c r="I86" s="84">
        <v>8000</v>
      </c>
      <c r="J86" s="84">
        <v>10000</v>
      </c>
      <c r="K86" s="83">
        <v>10000</v>
      </c>
      <c r="L86" s="83">
        <f t="shared" ref="L86:L90" si="22">K86/H86*100</f>
        <v>100</v>
      </c>
      <c r="M86" s="83">
        <f t="shared" si="18"/>
        <v>1</v>
      </c>
      <c r="N86" s="85">
        <f t="shared" si="16"/>
        <v>6.2538961773184697E-4</v>
      </c>
    </row>
    <row r="87" spans="1:14" ht="15" customHeight="1">
      <c r="A87" s="72" t="s">
        <v>171</v>
      </c>
      <c r="B87" s="72" t="s">
        <v>167</v>
      </c>
      <c r="C87" s="72" t="s">
        <v>169</v>
      </c>
      <c r="D87" s="87" t="s">
        <v>513</v>
      </c>
      <c r="E87" s="76">
        <v>614122</v>
      </c>
      <c r="F87" s="82" t="s">
        <v>215</v>
      </c>
      <c r="G87" s="86" t="s">
        <v>337</v>
      </c>
      <c r="H87" s="83">
        <v>10000</v>
      </c>
      <c r="I87" s="84">
        <v>4000</v>
      </c>
      <c r="J87" s="84">
        <v>10000</v>
      </c>
      <c r="K87" s="83">
        <v>10000</v>
      </c>
      <c r="L87" s="83">
        <f t="shared" si="22"/>
        <v>100</v>
      </c>
      <c r="M87" s="83">
        <f t="shared" si="18"/>
        <v>1</v>
      </c>
      <c r="N87" s="85">
        <f t="shared" si="16"/>
        <v>6.2538961773184697E-4</v>
      </c>
    </row>
    <row r="88" spans="1:14" ht="15" customHeight="1">
      <c r="A88" s="72" t="s">
        <v>171</v>
      </c>
      <c r="B88" s="72" t="s">
        <v>167</v>
      </c>
      <c r="C88" s="72" t="s">
        <v>169</v>
      </c>
      <c r="D88" s="87" t="s">
        <v>513</v>
      </c>
      <c r="E88" s="76">
        <v>614122</v>
      </c>
      <c r="F88" s="82" t="s">
        <v>215</v>
      </c>
      <c r="G88" s="86" t="s">
        <v>338</v>
      </c>
      <c r="H88" s="83">
        <v>6000</v>
      </c>
      <c r="I88" s="84">
        <v>2732.4</v>
      </c>
      <c r="J88" s="84">
        <v>6000</v>
      </c>
      <c r="K88" s="83">
        <v>6000</v>
      </c>
      <c r="L88" s="83">
        <f t="shared" si="22"/>
        <v>100</v>
      </c>
      <c r="M88" s="83">
        <f t="shared" si="18"/>
        <v>1</v>
      </c>
      <c r="N88" s="85">
        <f t="shared" si="16"/>
        <v>3.7523377063910818E-4</v>
      </c>
    </row>
    <row r="89" spans="1:14" ht="15" customHeight="1">
      <c r="A89" s="72" t="s">
        <v>171</v>
      </c>
      <c r="B89" s="72" t="s">
        <v>167</v>
      </c>
      <c r="C89" s="72" t="s">
        <v>167</v>
      </c>
      <c r="D89" s="87" t="s">
        <v>513</v>
      </c>
      <c r="E89" s="76">
        <v>614122</v>
      </c>
      <c r="F89" s="82" t="s">
        <v>215</v>
      </c>
      <c r="G89" s="86" t="s">
        <v>367</v>
      </c>
      <c r="H89" s="83">
        <v>35000</v>
      </c>
      <c r="I89" s="84">
        <v>0</v>
      </c>
      <c r="J89" s="84">
        <v>35000</v>
      </c>
      <c r="K89" s="83">
        <v>0</v>
      </c>
      <c r="L89" s="83">
        <f t="shared" si="22"/>
        <v>0</v>
      </c>
      <c r="M89" s="83">
        <f t="shared" si="18"/>
        <v>0</v>
      </c>
      <c r="N89" s="85">
        <f t="shared" si="16"/>
        <v>0</v>
      </c>
    </row>
    <row r="90" spans="1:14" ht="15" customHeight="1">
      <c r="A90" s="72" t="s">
        <v>171</v>
      </c>
      <c r="B90" s="72" t="s">
        <v>167</v>
      </c>
      <c r="C90" s="72" t="s">
        <v>169</v>
      </c>
      <c r="D90" s="80" t="s">
        <v>116</v>
      </c>
      <c r="E90" s="76">
        <v>614124</v>
      </c>
      <c r="F90" s="82" t="s">
        <v>215</v>
      </c>
      <c r="G90" s="86" t="s">
        <v>339</v>
      </c>
      <c r="H90" s="83">
        <v>30000</v>
      </c>
      <c r="I90" s="84">
        <v>13012.43</v>
      </c>
      <c r="J90" s="84">
        <v>18000</v>
      </c>
      <c r="K90" s="83">
        <v>0</v>
      </c>
      <c r="L90" s="83">
        <f t="shared" si="22"/>
        <v>0</v>
      </c>
      <c r="M90" s="83">
        <f t="shared" si="18"/>
        <v>0</v>
      </c>
      <c r="N90" s="85">
        <f t="shared" si="16"/>
        <v>0</v>
      </c>
    </row>
    <row r="91" spans="1:14" ht="15" customHeight="1">
      <c r="A91" s="72" t="s">
        <v>171</v>
      </c>
      <c r="B91" s="72" t="s">
        <v>167</v>
      </c>
      <c r="C91" s="72" t="s">
        <v>169</v>
      </c>
      <c r="D91" s="80" t="s">
        <v>116</v>
      </c>
      <c r="E91" s="76">
        <v>614124</v>
      </c>
      <c r="F91" s="82" t="s">
        <v>215</v>
      </c>
      <c r="G91" s="86" t="s">
        <v>340</v>
      </c>
      <c r="H91" s="83">
        <v>0</v>
      </c>
      <c r="I91" s="84">
        <v>0</v>
      </c>
      <c r="J91" s="84">
        <v>0</v>
      </c>
      <c r="K91" s="83">
        <v>55550</v>
      </c>
      <c r="L91" s="83" t="e">
        <f t="shared" si="20"/>
        <v>#DIV/0!</v>
      </c>
      <c r="M91" s="83" t="e">
        <f t="shared" si="18"/>
        <v>#DIV/0!</v>
      </c>
      <c r="N91" s="85">
        <f t="shared" si="16"/>
        <v>3.4740393265004096E-3</v>
      </c>
    </row>
    <row r="92" spans="1:14" ht="15" customHeight="1">
      <c r="A92" s="72" t="s">
        <v>171</v>
      </c>
      <c r="B92" s="72" t="s">
        <v>167</v>
      </c>
      <c r="C92" s="72" t="s">
        <v>169</v>
      </c>
      <c r="D92" s="87" t="s">
        <v>514</v>
      </c>
      <c r="E92" s="76">
        <v>614175</v>
      </c>
      <c r="F92" s="82" t="s">
        <v>215</v>
      </c>
      <c r="G92" s="86" t="s">
        <v>341</v>
      </c>
      <c r="H92" s="83">
        <v>30000</v>
      </c>
      <c r="I92" s="84">
        <v>0</v>
      </c>
      <c r="J92" s="84">
        <v>30000</v>
      </c>
      <c r="K92" s="83">
        <v>20000</v>
      </c>
      <c r="L92" s="83">
        <f t="shared" si="20"/>
        <v>66.666666666666657</v>
      </c>
      <c r="M92" s="83">
        <f t="shared" si="18"/>
        <v>0.66666666666666663</v>
      </c>
      <c r="N92" s="85">
        <f t="shared" si="16"/>
        <v>1.2507792354636939E-3</v>
      </c>
    </row>
    <row r="93" spans="1:14" ht="15" customHeight="1">
      <c r="A93" s="72" t="s">
        <v>171</v>
      </c>
      <c r="B93" s="72" t="s">
        <v>167</v>
      </c>
      <c r="C93" s="72" t="s">
        <v>169</v>
      </c>
      <c r="D93" s="87" t="s">
        <v>514</v>
      </c>
      <c r="E93" s="76">
        <v>614175</v>
      </c>
      <c r="F93" s="82" t="s">
        <v>215</v>
      </c>
      <c r="G93" s="86" t="s">
        <v>342</v>
      </c>
      <c r="H93" s="83">
        <v>7000</v>
      </c>
      <c r="I93" s="84">
        <v>2700</v>
      </c>
      <c r="J93" s="84">
        <v>5000</v>
      </c>
      <c r="K93" s="83">
        <v>7000</v>
      </c>
      <c r="L93" s="83">
        <f t="shared" si="20"/>
        <v>100</v>
      </c>
      <c r="M93" s="83">
        <f t="shared" si="18"/>
        <v>1.4</v>
      </c>
      <c r="N93" s="85">
        <f t="shared" si="16"/>
        <v>4.3777273241229288E-4</v>
      </c>
    </row>
    <row r="94" spans="1:14" ht="15" customHeight="1">
      <c r="A94" s="72" t="s">
        <v>171</v>
      </c>
      <c r="B94" s="72" t="s">
        <v>167</v>
      </c>
      <c r="C94" s="72" t="s">
        <v>169</v>
      </c>
      <c r="D94" s="87" t="s">
        <v>514</v>
      </c>
      <c r="E94" s="76">
        <v>614175</v>
      </c>
      <c r="F94" s="82" t="s">
        <v>215</v>
      </c>
      <c r="G94" s="86" t="s">
        <v>343</v>
      </c>
      <c r="H94" s="83">
        <v>40000</v>
      </c>
      <c r="I94" s="84">
        <v>20000</v>
      </c>
      <c r="J94" s="84">
        <v>40000</v>
      </c>
      <c r="K94" s="83">
        <v>30000</v>
      </c>
      <c r="L94" s="83">
        <f t="shared" si="20"/>
        <v>75</v>
      </c>
      <c r="M94" s="83">
        <f t="shared" si="18"/>
        <v>0.75</v>
      </c>
      <c r="N94" s="85">
        <f t="shared" si="16"/>
        <v>1.8761688531955408E-3</v>
      </c>
    </row>
    <row r="95" spans="1:14" ht="15" customHeight="1">
      <c r="A95" s="72" t="s">
        <v>171</v>
      </c>
      <c r="B95" s="72" t="s">
        <v>167</v>
      </c>
      <c r="C95" s="72" t="s">
        <v>169</v>
      </c>
      <c r="D95" s="87" t="s">
        <v>514</v>
      </c>
      <c r="E95" s="76">
        <v>614175</v>
      </c>
      <c r="F95" s="82" t="s">
        <v>215</v>
      </c>
      <c r="G95" s="86" t="s">
        <v>344</v>
      </c>
      <c r="H95" s="83">
        <v>0</v>
      </c>
      <c r="I95" s="84">
        <v>0</v>
      </c>
      <c r="J95" s="84">
        <v>0</v>
      </c>
      <c r="K95" s="333">
        <v>30000</v>
      </c>
      <c r="L95" s="83" t="e">
        <f t="shared" si="20"/>
        <v>#DIV/0!</v>
      </c>
      <c r="M95" s="83" t="e">
        <f t="shared" si="18"/>
        <v>#DIV/0!</v>
      </c>
      <c r="N95" s="85">
        <f t="shared" si="16"/>
        <v>1.8761688531955408E-3</v>
      </c>
    </row>
    <row r="96" spans="1:14" ht="15" customHeight="1">
      <c r="A96" s="72" t="s">
        <v>171</v>
      </c>
      <c r="B96" s="72" t="s">
        <v>167</v>
      </c>
      <c r="C96" s="72" t="s">
        <v>169</v>
      </c>
      <c r="D96" s="87" t="s">
        <v>156</v>
      </c>
      <c r="E96" s="76">
        <v>614181</v>
      </c>
      <c r="F96" s="82" t="s">
        <v>215</v>
      </c>
      <c r="G96" s="86" t="s">
        <v>345</v>
      </c>
      <c r="H96" s="83">
        <v>500000</v>
      </c>
      <c r="I96" s="84">
        <v>375000.04</v>
      </c>
      <c r="J96" s="84">
        <v>500000</v>
      </c>
      <c r="K96" s="83">
        <v>500000</v>
      </c>
      <c r="L96" s="83">
        <f t="shared" ref="L96:L98" si="23">K96/H96*100</f>
        <v>100</v>
      </c>
      <c r="M96" s="83">
        <f t="shared" si="18"/>
        <v>1</v>
      </c>
      <c r="N96" s="85">
        <f t="shared" si="16"/>
        <v>3.126948088659235E-2</v>
      </c>
    </row>
    <row r="97" spans="1:14" ht="15" customHeight="1">
      <c r="A97" s="72" t="s">
        <v>171</v>
      </c>
      <c r="B97" s="72" t="s">
        <v>167</v>
      </c>
      <c r="C97" s="72" t="s">
        <v>169</v>
      </c>
      <c r="D97" s="87" t="s">
        <v>512</v>
      </c>
      <c r="E97" s="76">
        <v>614182</v>
      </c>
      <c r="F97" s="82" t="s">
        <v>215</v>
      </c>
      <c r="G97" s="86" t="s">
        <v>347</v>
      </c>
      <c r="H97" s="83">
        <v>309000</v>
      </c>
      <c r="I97" s="84">
        <v>231025.69</v>
      </c>
      <c r="J97" s="84">
        <v>309000</v>
      </c>
      <c r="K97" s="83">
        <v>0</v>
      </c>
      <c r="L97" s="83">
        <f t="shared" si="23"/>
        <v>0</v>
      </c>
      <c r="M97" s="83">
        <f t="shared" si="18"/>
        <v>0</v>
      </c>
      <c r="N97" s="85">
        <f t="shared" si="16"/>
        <v>0</v>
      </c>
    </row>
    <row r="98" spans="1:14" ht="15" customHeight="1">
      <c r="A98" s="72" t="s">
        <v>171</v>
      </c>
      <c r="B98" s="72" t="s">
        <v>167</v>
      </c>
      <c r="C98" s="72" t="s">
        <v>169</v>
      </c>
      <c r="D98" s="80" t="s">
        <v>116</v>
      </c>
      <c r="E98" s="76">
        <v>614185</v>
      </c>
      <c r="F98" s="82" t="s">
        <v>215</v>
      </c>
      <c r="G98" s="86" t="s">
        <v>348</v>
      </c>
      <c r="H98" s="83">
        <v>3600</v>
      </c>
      <c r="I98" s="84">
        <v>3065</v>
      </c>
      <c r="J98" s="84">
        <v>3600</v>
      </c>
      <c r="K98" s="83">
        <v>3600</v>
      </c>
      <c r="L98" s="83">
        <f t="shared" si="23"/>
        <v>100</v>
      </c>
      <c r="M98" s="83">
        <f t="shared" si="18"/>
        <v>1</v>
      </c>
      <c r="N98" s="85">
        <f t="shared" si="16"/>
        <v>2.2514026238346489E-4</v>
      </c>
    </row>
    <row r="99" spans="1:14" ht="15" customHeight="1">
      <c r="A99" s="72" t="s">
        <v>171</v>
      </c>
      <c r="B99" s="72" t="s">
        <v>167</v>
      </c>
      <c r="C99" s="72" t="s">
        <v>169</v>
      </c>
      <c r="D99" s="87" t="s">
        <v>506</v>
      </c>
      <c r="E99" s="76">
        <v>614234</v>
      </c>
      <c r="F99" s="82" t="s">
        <v>215</v>
      </c>
      <c r="G99" s="86" t="s">
        <v>349</v>
      </c>
      <c r="H99" s="83">
        <v>136000</v>
      </c>
      <c r="I99" s="84">
        <v>104300</v>
      </c>
      <c r="J99" s="84">
        <v>136000</v>
      </c>
      <c r="K99" s="83">
        <v>140000</v>
      </c>
      <c r="L99" s="83">
        <f t="shared" si="20"/>
        <v>102.94117647058823</v>
      </c>
      <c r="M99" s="83">
        <f t="shared" si="18"/>
        <v>1.0294117647058822</v>
      </c>
      <c r="N99" s="85">
        <f t="shared" si="16"/>
        <v>8.7554546482458574E-3</v>
      </c>
    </row>
    <row r="100" spans="1:14" ht="15" customHeight="1">
      <c r="A100" s="72" t="s">
        <v>171</v>
      </c>
      <c r="B100" s="72" t="s">
        <v>167</v>
      </c>
      <c r="C100" s="72" t="s">
        <v>169</v>
      </c>
      <c r="D100" s="87" t="s">
        <v>235</v>
      </c>
      <c r="E100" s="76">
        <v>614311</v>
      </c>
      <c r="F100" s="82" t="s">
        <v>215</v>
      </c>
      <c r="G100" s="86" t="s">
        <v>100</v>
      </c>
      <c r="H100" s="83">
        <v>40000</v>
      </c>
      <c r="I100" s="84">
        <v>28000</v>
      </c>
      <c r="J100" s="84">
        <v>40000</v>
      </c>
      <c r="K100" s="83">
        <v>40000</v>
      </c>
      <c r="L100" s="83">
        <f t="shared" si="20"/>
        <v>100</v>
      </c>
      <c r="M100" s="83">
        <f t="shared" si="18"/>
        <v>1</v>
      </c>
      <c r="N100" s="85">
        <f t="shared" si="16"/>
        <v>2.5015584709273879E-3</v>
      </c>
    </row>
    <row r="101" spans="1:14" ht="15" customHeight="1">
      <c r="A101" s="72" t="s">
        <v>171</v>
      </c>
      <c r="B101" s="72" t="s">
        <v>167</v>
      </c>
      <c r="C101" s="72" t="s">
        <v>169</v>
      </c>
      <c r="D101" s="87" t="s">
        <v>235</v>
      </c>
      <c r="E101" s="76">
        <v>614311</v>
      </c>
      <c r="F101" s="82" t="s">
        <v>215</v>
      </c>
      <c r="G101" s="86" t="s">
        <v>350</v>
      </c>
      <c r="H101" s="83">
        <v>40000</v>
      </c>
      <c r="I101" s="84">
        <v>26575</v>
      </c>
      <c r="J101" s="84">
        <v>40000</v>
      </c>
      <c r="K101" s="83">
        <v>40000</v>
      </c>
      <c r="L101" s="83">
        <f t="shared" si="20"/>
        <v>100</v>
      </c>
      <c r="M101" s="83">
        <f t="shared" si="18"/>
        <v>1</v>
      </c>
      <c r="N101" s="85">
        <f t="shared" si="16"/>
        <v>2.5015584709273879E-3</v>
      </c>
    </row>
    <row r="102" spans="1:14" ht="15" customHeight="1">
      <c r="A102" s="72" t="s">
        <v>171</v>
      </c>
      <c r="B102" s="72" t="s">
        <v>167</v>
      </c>
      <c r="C102" s="72" t="s">
        <v>169</v>
      </c>
      <c r="D102" s="87" t="s">
        <v>235</v>
      </c>
      <c r="E102" s="76">
        <v>614311</v>
      </c>
      <c r="F102" s="82" t="s">
        <v>215</v>
      </c>
      <c r="G102" s="86" t="s">
        <v>351</v>
      </c>
      <c r="H102" s="83">
        <v>5000</v>
      </c>
      <c r="I102" s="84">
        <v>1000</v>
      </c>
      <c r="J102" s="84">
        <v>5000</v>
      </c>
      <c r="K102" s="83">
        <v>3000</v>
      </c>
      <c r="L102" s="83">
        <f t="shared" si="20"/>
        <v>60</v>
      </c>
      <c r="M102" s="83">
        <f t="shared" si="18"/>
        <v>0.6</v>
      </c>
      <c r="N102" s="85">
        <f t="shared" si="16"/>
        <v>1.8761688531955409E-4</v>
      </c>
    </row>
    <row r="103" spans="1:14" ht="15" customHeight="1">
      <c r="A103" s="72" t="s">
        <v>171</v>
      </c>
      <c r="B103" s="72" t="s">
        <v>167</v>
      </c>
      <c r="C103" s="72" t="s">
        <v>527</v>
      </c>
      <c r="D103" s="87" t="s">
        <v>235</v>
      </c>
      <c r="E103" s="76">
        <v>614311</v>
      </c>
      <c r="F103" s="82" t="s">
        <v>215</v>
      </c>
      <c r="G103" s="86" t="s">
        <v>352</v>
      </c>
      <c r="H103" s="83">
        <v>15000</v>
      </c>
      <c r="I103" s="84">
        <v>10000</v>
      </c>
      <c r="J103" s="84">
        <v>15000</v>
      </c>
      <c r="K103" s="83">
        <v>15000</v>
      </c>
      <c r="L103" s="83">
        <f t="shared" si="20"/>
        <v>100</v>
      </c>
      <c r="M103" s="83">
        <f t="shared" si="18"/>
        <v>1</v>
      </c>
      <c r="N103" s="85">
        <f t="shared" ref="N103:N134" si="24">K103/K$390</f>
        <v>9.380844265977704E-4</v>
      </c>
    </row>
    <row r="104" spans="1:14" ht="15" customHeight="1">
      <c r="A104" s="72" t="s">
        <v>171</v>
      </c>
      <c r="B104" s="72" t="s">
        <v>167</v>
      </c>
      <c r="C104" s="72" t="s">
        <v>527</v>
      </c>
      <c r="D104" s="87" t="s">
        <v>235</v>
      </c>
      <c r="E104" s="76">
        <v>614311</v>
      </c>
      <c r="F104" s="82" t="s">
        <v>215</v>
      </c>
      <c r="G104" s="86" t="s">
        <v>353</v>
      </c>
      <c r="H104" s="83">
        <v>10000</v>
      </c>
      <c r="I104" s="84">
        <v>8000</v>
      </c>
      <c r="J104" s="84">
        <v>10000</v>
      </c>
      <c r="K104" s="83">
        <v>10000</v>
      </c>
      <c r="L104" s="83">
        <f t="shared" si="20"/>
        <v>100</v>
      </c>
      <c r="M104" s="83">
        <f t="shared" si="18"/>
        <v>1</v>
      </c>
      <c r="N104" s="85">
        <f t="shared" si="24"/>
        <v>6.2538961773184697E-4</v>
      </c>
    </row>
    <row r="105" spans="1:14" ht="15" customHeight="1">
      <c r="A105" s="72" t="s">
        <v>171</v>
      </c>
      <c r="B105" s="72" t="s">
        <v>167</v>
      </c>
      <c r="C105" s="72" t="s">
        <v>169</v>
      </c>
      <c r="D105" s="87" t="s">
        <v>235</v>
      </c>
      <c r="E105" s="76">
        <v>614311</v>
      </c>
      <c r="F105" s="82" t="s">
        <v>215</v>
      </c>
      <c r="G105" s="86" t="s">
        <v>354</v>
      </c>
      <c r="H105" s="83">
        <v>20000</v>
      </c>
      <c r="I105" s="84">
        <v>13336</v>
      </c>
      <c r="J105" s="84">
        <v>20000</v>
      </c>
      <c r="K105" s="83">
        <v>20000</v>
      </c>
      <c r="L105" s="83">
        <f t="shared" si="20"/>
        <v>100</v>
      </c>
      <c r="M105" s="83">
        <f t="shared" si="18"/>
        <v>1</v>
      </c>
      <c r="N105" s="85">
        <f t="shared" si="24"/>
        <v>1.2507792354636939E-3</v>
      </c>
    </row>
    <row r="106" spans="1:14" ht="15" customHeight="1">
      <c r="A106" s="72" t="s">
        <v>171</v>
      </c>
      <c r="B106" s="72" t="s">
        <v>167</v>
      </c>
      <c r="C106" s="72" t="s">
        <v>169</v>
      </c>
      <c r="D106" s="87" t="s">
        <v>235</v>
      </c>
      <c r="E106" s="76">
        <v>614311</v>
      </c>
      <c r="F106" s="82" t="s">
        <v>215</v>
      </c>
      <c r="G106" s="86" t="s">
        <v>355</v>
      </c>
      <c r="H106" s="83">
        <v>2500</v>
      </c>
      <c r="I106" s="84">
        <v>2500</v>
      </c>
      <c r="J106" s="84">
        <v>2500</v>
      </c>
      <c r="K106" s="83">
        <v>2500</v>
      </c>
      <c r="L106" s="83">
        <f t="shared" si="20"/>
        <v>100</v>
      </c>
      <c r="M106" s="83">
        <f t="shared" si="18"/>
        <v>1</v>
      </c>
      <c r="N106" s="85">
        <f t="shared" si="24"/>
        <v>1.5634740443296174E-4</v>
      </c>
    </row>
    <row r="107" spans="1:14" ht="15" customHeight="1">
      <c r="A107" s="72" t="s">
        <v>171</v>
      </c>
      <c r="B107" s="72" t="s">
        <v>167</v>
      </c>
      <c r="C107" s="72" t="s">
        <v>169</v>
      </c>
      <c r="D107" s="87" t="s">
        <v>235</v>
      </c>
      <c r="E107" s="76">
        <v>614311</v>
      </c>
      <c r="F107" s="82" t="s">
        <v>215</v>
      </c>
      <c r="G107" s="86" t="s">
        <v>356</v>
      </c>
      <c r="H107" s="83">
        <v>5000</v>
      </c>
      <c r="I107" s="84">
        <v>3752</v>
      </c>
      <c r="J107" s="84">
        <v>5000</v>
      </c>
      <c r="K107" s="83">
        <v>5000</v>
      </c>
      <c r="L107" s="83">
        <f t="shared" si="15"/>
        <v>100</v>
      </c>
      <c r="M107" s="83">
        <f t="shared" si="18"/>
        <v>1</v>
      </c>
      <c r="N107" s="85">
        <f t="shared" si="24"/>
        <v>3.1269480886592348E-4</v>
      </c>
    </row>
    <row r="108" spans="1:14" ht="15" customHeight="1">
      <c r="A108" s="72" t="s">
        <v>171</v>
      </c>
      <c r="B108" s="72" t="s">
        <v>167</v>
      </c>
      <c r="C108" s="72" t="s">
        <v>169</v>
      </c>
      <c r="D108" s="87" t="s">
        <v>235</v>
      </c>
      <c r="E108" s="76">
        <v>614311</v>
      </c>
      <c r="F108" s="82" t="s">
        <v>215</v>
      </c>
      <c r="G108" s="86" t="s">
        <v>357</v>
      </c>
      <c r="H108" s="83">
        <v>2000</v>
      </c>
      <c r="I108" s="84">
        <v>2000</v>
      </c>
      <c r="J108" s="84">
        <v>2000</v>
      </c>
      <c r="K108" s="83">
        <v>2000</v>
      </c>
      <c r="L108" s="83">
        <f t="shared" si="15"/>
        <v>100</v>
      </c>
      <c r="M108" s="83">
        <f t="shared" si="18"/>
        <v>1</v>
      </c>
      <c r="N108" s="85">
        <f t="shared" si="24"/>
        <v>1.2507792354636939E-4</v>
      </c>
    </row>
    <row r="109" spans="1:14" ht="15" customHeight="1">
      <c r="A109" s="72" t="s">
        <v>171</v>
      </c>
      <c r="B109" s="72" t="s">
        <v>167</v>
      </c>
      <c r="C109" s="72" t="s">
        <v>169</v>
      </c>
      <c r="D109" s="87" t="s">
        <v>514</v>
      </c>
      <c r="E109" s="76">
        <v>614311</v>
      </c>
      <c r="F109" s="82" t="s">
        <v>215</v>
      </c>
      <c r="G109" s="86" t="s">
        <v>358</v>
      </c>
      <c r="H109" s="83">
        <v>10000</v>
      </c>
      <c r="I109" s="84">
        <v>10000</v>
      </c>
      <c r="J109" s="84">
        <v>10000</v>
      </c>
      <c r="K109" s="83">
        <v>10000</v>
      </c>
      <c r="L109" s="83">
        <f t="shared" si="15"/>
        <v>100</v>
      </c>
      <c r="M109" s="83">
        <f t="shared" si="18"/>
        <v>1</v>
      </c>
      <c r="N109" s="85">
        <f t="shared" si="24"/>
        <v>6.2538961773184697E-4</v>
      </c>
    </row>
    <row r="110" spans="1:14" ht="15" customHeight="1">
      <c r="A110" s="72" t="s">
        <v>171</v>
      </c>
      <c r="B110" s="72" t="s">
        <v>167</v>
      </c>
      <c r="C110" s="72" t="s">
        <v>169</v>
      </c>
      <c r="D110" s="87" t="s">
        <v>515</v>
      </c>
      <c r="E110" s="76">
        <v>614319</v>
      </c>
      <c r="F110" s="82" t="s">
        <v>215</v>
      </c>
      <c r="G110" s="86" t="s">
        <v>359</v>
      </c>
      <c r="H110" s="83">
        <v>40000</v>
      </c>
      <c r="I110" s="84">
        <v>29767</v>
      </c>
      <c r="J110" s="84">
        <v>40000</v>
      </c>
      <c r="K110" s="83">
        <v>40000</v>
      </c>
      <c r="L110" s="83">
        <f t="shared" ref="L110:L121" si="25">K110/H110*100</f>
        <v>100</v>
      </c>
      <c r="M110" s="83">
        <f t="shared" si="18"/>
        <v>1</v>
      </c>
      <c r="N110" s="85">
        <f t="shared" si="24"/>
        <v>2.5015584709273879E-3</v>
      </c>
    </row>
    <row r="111" spans="1:14" ht="15" customHeight="1">
      <c r="A111" s="72" t="s">
        <v>171</v>
      </c>
      <c r="B111" s="72" t="s">
        <v>167</v>
      </c>
      <c r="C111" s="72" t="s">
        <v>169</v>
      </c>
      <c r="D111" s="87" t="s">
        <v>516</v>
      </c>
      <c r="E111" s="76">
        <v>614329</v>
      </c>
      <c r="F111" s="82" t="s">
        <v>215</v>
      </c>
      <c r="G111" s="86" t="s">
        <v>360</v>
      </c>
      <c r="H111" s="83">
        <v>50000</v>
      </c>
      <c r="I111" s="84">
        <v>30435</v>
      </c>
      <c r="J111" s="84">
        <v>50000</v>
      </c>
      <c r="K111" s="83">
        <v>0</v>
      </c>
      <c r="L111" s="83">
        <f t="shared" si="25"/>
        <v>0</v>
      </c>
      <c r="M111" s="83">
        <f t="shared" si="18"/>
        <v>0</v>
      </c>
      <c r="N111" s="85">
        <f t="shared" si="24"/>
        <v>0</v>
      </c>
    </row>
    <row r="112" spans="1:14" ht="25.5" customHeight="1">
      <c r="A112" s="72" t="s">
        <v>171</v>
      </c>
      <c r="B112" s="72" t="s">
        <v>167</v>
      </c>
      <c r="C112" s="72" t="s">
        <v>169</v>
      </c>
      <c r="D112" s="87" t="s">
        <v>116</v>
      </c>
      <c r="E112" s="76">
        <v>614811</v>
      </c>
      <c r="F112" s="82" t="s">
        <v>215</v>
      </c>
      <c r="G112" s="86" t="s">
        <v>361</v>
      </c>
      <c r="H112" s="83">
        <v>8500</v>
      </c>
      <c r="I112" s="84">
        <v>6729.78</v>
      </c>
      <c r="J112" s="84">
        <v>8500</v>
      </c>
      <c r="K112" s="83">
        <v>7000</v>
      </c>
      <c r="L112" s="83">
        <f t="shared" si="25"/>
        <v>82.35294117647058</v>
      </c>
      <c r="M112" s="83">
        <f t="shared" si="18"/>
        <v>0.82352941176470584</v>
      </c>
      <c r="N112" s="85">
        <f t="shared" si="24"/>
        <v>4.3777273241229288E-4</v>
      </c>
    </row>
    <row r="113" spans="1:14" ht="15" customHeight="1">
      <c r="A113" s="72" t="s">
        <v>171</v>
      </c>
      <c r="B113" s="72" t="s">
        <v>167</v>
      </c>
      <c r="C113" s="72" t="s">
        <v>169</v>
      </c>
      <c r="D113" s="87" t="s">
        <v>236</v>
      </c>
      <c r="E113" s="76">
        <v>615117</v>
      </c>
      <c r="F113" s="82" t="s">
        <v>215</v>
      </c>
      <c r="G113" s="86" t="s">
        <v>528</v>
      </c>
      <c r="H113" s="83">
        <v>20000</v>
      </c>
      <c r="I113" s="84">
        <v>306.45</v>
      </c>
      <c r="J113" s="84">
        <v>10000</v>
      </c>
      <c r="K113" s="83">
        <v>40000</v>
      </c>
      <c r="L113" s="83">
        <f t="shared" si="25"/>
        <v>200</v>
      </c>
      <c r="M113" s="83">
        <f t="shared" si="18"/>
        <v>4</v>
      </c>
      <c r="N113" s="85">
        <f t="shared" si="24"/>
        <v>2.5015584709273879E-3</v>
      </c>
    </row>
    <row r="114" spans="1:14" ht="24.75" customHeight="1">
      <c r="A114" s="72" t="s">
        <v>171</v>
      </c>
      <c r="B114" s="72" t="s">
        <v>167</v>
      </c>
      <c r="C114" s="72" t="s">
        <v>169</v>
      </c>
      <c r="D114" s="87" t="s">
        <v>236</v>
      </c>
      <c r="E114" s="76">
        <v>615117</v>
      </c>
      <c r="F114" s="82" t="s">
        <v>215</v>
      </c>
      <c r="G114" s="86" t="s">
        <v>362</v>
      </c>
      <c r="H114" s="83">
        <v>25000</v>
      </c>
      <c r="I114" s="84">
        <v>0</v>
      </c>
      <c r="J114" s="84">
        <v>25000</v>
      </c>
      <c r="K114" s="83">
        <v>0</v>
      </c>
      <c r="L114" s="83">
        <f t="shared" si="25"/>
        <v>0</v>
      </c>
      <c r="M114" s="83">
        <f t="shared" si="18"/>
        <v>0</v>
      </c>
      <c r="N114" s="85">
        <f t="shared" si="24"/>
        <v>0</v>
      </c>
    </row>
    <row r="115" spans="1:14" ht="15" customHeight="1">
      <c r="A115" s="72" t="s">
        <v>171</v>
      </c>
      <c r="B115" s="72" t="s">
        <v>167</v>
      </c>
      <c r="C115" s="72" t="s">
        <v>169</v>
      </c>
      <c r="D115" s="87" t="s">
        <v>236</v>
      </c>
      <c r="E115" s="76">
        <v>615117</v>
      </c>
      <c r="F115" s="82" t="s">
        <v>215</v>
      </c>
      <c r="G115" s="86" t="s">
        <v>363</v>
      </c>
      <c r="H115" s="83">
        <v>10000</v>
      </c>
      <c r="I115" s="84">
        <v>0</v>
      </c>
      <c r="J115" s="84">
        <v>10000</v>
      </c>
      <c r="K115" s="83">
        <v>0</v>
      </c>
      <c r="L115" s="83">
        <f t="shared" ref="L115:L118" si="26">K115/H115*100</f>
        <v>0</v>
      </c>
      <c r="M115" s="83">
        <f t="shared" si="18"/>
        <v>0</v>
      </c>
      <c r="N115" s="85">
        <f t="shared" si="24"/>
        <v>0</v>
      </c>
    </row>
    <row r="116" spans="1:14" ht="15" customHeight="1">
      <c r="A116" s="72" t="s">
        <v>171</v>
      </c>
      <c r="B116" s="72" t="s">
        <v>167</v>
      </c>
      <c r="C116" s="72" t="s">
        <v>169</v>
      </c>
      <c r="D116" s="87" t="s">
        <v>236</v>
      </c>
      <c r="E116" s="76">
        <v>615117</v>
      </c>
      <c r="F116" s="82" t="s">
        <v>215</v>
      </c>
      <c r="G116" s="86" t="s">
        <v>364</v>
      </c>
      <c r="H116" s="83">
        <v>70000</v>
      </c>
      <c r="I116" s="84">
        <v>0</v>
      </c>
      <c r="J116" s="84">
        <v>70000</v>
      </c>
      <c r="K116" s="83">
        <v>20000</v>
      </c>
      <c r="L116" s="83">
        <f t="shared" si="26"/>
        <v>28.571428571428569</v>
      </c>
      <c r="M116" s="83">
        <f t="shared" si="18"/>
        <v>0.2857142857142857</v>
      </c>
      <c r="N116" s="85">
        <f t="shared" si="24"/>
        <v>1.2507792354636939E-3</v>
      </c>
    </row>
    <row r="117" spans="1:14" ht="15" customHeight="1">
      <c r="A117" s="72" t="s">
        <v>171</v>
      </c>
      <c r="B117" s="72" t="s">
        <v>167</v>
      </c>
      <c r="C117" s="72" t="s">
        <v>169</v>
      </c>
      <c r="D117" s="87" t="s">
        <v>513</v>
      </c>
      <c r="E117" s="76">
        <v>615117</v>
      </c>
      <c r="F117" s="82" t="s">
        <v>215</v>
      </c>
      <c r="G117" s="86" t="s">
        <v>365</v>
      </c>
      <c r="H117" s="83">
        <v>40000</v>
      </c>
      <c r="I117" s="84">
        <v>0</v>
      </c>
      <c r="J117" s="84">
        <v>40000</v>
      </c>
      <c r="K117" s="83">
        <v>0</v>
      </c>
      <c r="L117" s="83">
        <f t="shared" si="26"/>
        <v>0</v>
      </c>
      <c r="M117" s="83">
        <f t="shared" si="18"/>
        <v>0</v>
      </c>
      <c r="N117" s="85">
        <f t="shared" si="24"/>
        <v>0</v>
      </c>
    </row>
    <row r="118" spans="1:14" ht="15" customHeight="1">
      <c r="A118" s="72" t="s">
        <v>171</v>
      </c>
      <c r="B118" s="72" t="s">
        <v>167</v>
      </c>
      <c r="C118" s="72" t="s">
        <v>169</v>
      </c>
      <c r="D118" s="87" t="s">
        <v>513</v>
      </c>
      <c r="E118" s="76">
        <v>615117</v>
      </c>
      <c r="F118" s="82" t="s">
        <v>215</v>
      </c>
      <c r="G118" s="86" t="s">
        <v>366</v>
      </c>
      <c r="H118" s="83">
        <v>5000</v>
      </c>
      <c r="I118" s="84">
        <v>0</v>
      </c>
      <c r="J118" s="84">
        <v>5000</v>
      </c>
      <c r="K118" s="83">
        <v>0</v>
      </c>
      <c r="L118" s="83">
        <f t="shared" si="26"/>
        <v>0</v>
      </c>
      <c r="M118" s="83">
        <f t="shared" si="18"/>
        <v>0</v>
      </c>
      <c r="N118" s="85">
        <f t="shared" si="24"/>
        <v>0</v>
      </c>
    </row>
    <row r="119" spans="1:14" ht="15" customHeight="1">
      <c r="A119" s="72" t="s">
        <v>171</v>
      </c>
      <c r="B119" s="72" t="s">
        <v>167</v>
      </c>
      <c r="C119" s="72" t="s">
        <v>169</v>
      </c>
      <c r="D119" s="87" t="s">
        <v>513</v>
      </c>
      <c r="E119" s="76">
        <v>615117</v>
      </c>
      <c r="F119" s="82" t="s">
        <v>215</v>
      </c>
      <c r="G119" s="86" t="s">
        <v>368</v>
      </c>
      <c r="H119" s="83">
        <v>5000</v>
      </c>
      <c r="I119" s="84">
        <v>0</v>
      </c>
      <c r="J119" s="84">
        <v>5000</v>
      </c>
      <c r="K119" s="83">
        <v>0</v>
      </c>
      <c r="L119" s="83">
        <f t="shared" si="25"/>
        <v>0</v>
      </c>
      <c r="M119" s="83">
        <f t="shared" si="18"/>
        <v>0</v>
      </c>
      <c r="N119" s="85">
        <f t="shared" si="24"/>
        <v>0</v>
      </c>
    </row>
    <row r="120" spans="1:14" ht="15" customHeight="1">
      <c r="A120" s="72" t="s">
        <v>171</v>
      </c>
      <c r="B120" s="72" t="s">
        <v>167</v>
      </c>
      <c r="C120" s="72" t="s">
        <v>169</v>
      </c>
      <c r="D120" s="87" t="s">
        <v>236</v>
      </c>
      <c r="E120" s="76">
        <v>615117</v>
      </c>
      <c r="F120" s="82" t="s">
        <v>215</v>
      </c>
      <c r="G120" s="86" t="s">
        <v>369</v>
      </c>
      <c r="H120" s="83">
        <v>25000</v>
      </c>
      <c r="I120" s="84">
        <v>0</v>
      </c>
      <c r="J120" s="84">
        <v>25000</v>
      </c>
      <c r="K120" s="83">
        <v>0</v>
      </c>
      <c r="L120" s="83">
        <f t="shared" si="25"/>
        <v>0</v>
      </c>
      <c r="M120" s="83">
        <f t="shared" si="18"/>
        <v>0</v>
      </c>
      <c r="N120" s="85">
        <f t="shared" si="24"/>
        <v>0</v>
      </c>
    </row>
    <row r="121" spans="1:14" ht="24" customHeight="1">
      <c r="A121" s="72" t="s">
        <v>171</v>
      </c>
      <c r="B121" s="72" t="s">
        <v>167</v>
      </c>
      <c r="C121" s="72" t="s">
        <v>169</v>
      </c>
      <c r="D121" s="87" t="s">
        <v>513</v>
      </c>
      <c r="E121" s="76">
        <v>615117</v>
      </c>
      <c r="F121" s="82" t="s">
        <v>215</v>
      </c>
      <c r="G121" s="86" t="s">
        <v>585</v>
      </c>
      <c r="H121" s="83">
        <v>27000</v>
      </c>
      <c r="I121" s="84">
        <v>0</v>
      </c>
      <c r="J121" s="84">
        <v>27000</v>
      </c>
      <c r="K121" s="83">
        <v>0</v>
      </c>
      <c r="L121" s="83">
        <f t="shared" si="25"/>
        <v>0</v>
      </c>
      <c r="M121" s="83">
        <f t="shared" si="18"/>
        <v>0</v>
      </c>
      <c r="N121" s="85">
        <f t="shared" si="24"/>
        <v>0</v>
      </c>
    </row>
    <row r="122" spans="1:14" ht="15" customHeight="1">
      <c r="A122" s="72" t="s">
        <v>171</v>
      </c>
      <c r="B122" s="72" t="s">
        <v>167</v>
      </c>
      <c r="C122" s="72" t="s">
        <v>169</v>
      </c>
      <c r="D122" s="87" t="s">
        <v>236</v>
      </c>
      <c r="E122" s="76">
        <v>615117</v>
      </c>
      <c r="F122" s="82" t="s">
        <v>215</v>
      </c>
      <c r="G122" s="86" t="s">
        <v>370</v>
      </c>
      <c r="H122" s="83">
        <v>20000</v>
      </c>
      <c r="I122" s="84">
        <v>19709.849999999999</v>
      </c>
      <c r="J122" s="84">
        <v>20000</v>
      </c>
      <c r="K122" s="83">
        <v>0</v>
      </c>
      <c r="L122" s="83">
        <f t="shared" si="15"/>
        <v>0</v>
      </c>
      <c r="M122" s="83">
        <f t="shared" si="18"/>
        <v>0</v>
      </c>
      <c r="N122" s="85">
        <f t="shared" si="24"/>
        <v>0</v>
      </c>
    </row>
    <row r="123" spans="1:14" ht="15" customHeight="1">
      <c r="A123" s="72" t="s">
        <v>171</v>
      </c>
      <c r="B123" s="72" t="s">
        <v>167</v>
      </c>
      <c r="C123" s="72" t="s">
        <v>169</v>
      </c>
      <c r="D123" s="87" t="s">
        <v>236</v>
      </c>
      <c r="E123" s="76">
        <v>615117</v>
      </c>
      <c r="F123" s="82" t="s">
        <v>215</v>
      </c>
      <c r="G123" s="86" t="s">
        <v>371</v>
      </c>
      <c r="H123" s="83">
        <v>10000</v>
      </c>
      <c r="I123" s="84">
        <v>0</v>
      </c>
      <c r="J123" s="84">
        <v>10000</v>
      </c>
      <c r="K123" s="83">
        <v>0</v>
      </c>
      <c r="L123" s="83">
        <f t="shared" si="15"/>
        <v>0</v>
      </c>
      <c r="M123" s="83">
        <f t="shared" si="18"/>
        <v>0</v>
      </c>
      <c r="N123" s="85">
        <f t="shared" si="24"/>
        <v>0</v>
      </c>
    </row>
    <row r="124" spans="1:14" ht="15" customHeight="1">
      <c r="A124" s="72" t="s">
        <v>171</v>
      </c>
      <c r="B124" s="72" t="s">
        <v>167</v>
      </c>
      <c r="C124" s="72" t="s">
        <v>169</v>
      </c>
      <c r="D124" s="87" t="s">
        <v>508</v>
      </c>
      <c r="E124" s="76">
        <v>615117</v>
      </c>
      <c r="F124" s="82" t="s">
        <v>215</v>
      </c>
      <c r="G124" s="86" t="s">
        <v>372</v>
      </c>
      <c r="H124" s="83">
        <v>20000</v>
      </c>
      <c r="I124" s="84">
        <v>0</v>
      </c>
      <c r="J124" s="84">
        <v>20000</v>
      </c>
      <c r="K124" s="83">
        <v>0</v>
      </c>
      <c r="L124" s="83">
        <f t="shared" ref="L124" si="27">K124/H124*100</f>
        <v>0</v>
      </c>
      <c r="M124" s="83">
        <f t="shared" si="18"/>
        <v>0</v>
      </c>
      <c r="N124" s="85">
        <f t="shared" si="24"/>
        <v>0</v>
      </c>
    </row>
    <row r="125" spans="1:14" ht="15" customHeight="1">
      <c r="A125" s="72" t="s">
        <v>171</v>
      </c>
      <c r="B125" s="72" t="s">
        <v>167</v>
      </c>
      <c r="C125" s="72" t="s">
        <v>169</v>
      </c>
      <c r="D125" s="87" t="s">
        <v>139</v>
      </c>
      <c r="E125" s="76">
        <v>615117</v>
      </c>
      <c r="F125" s="82" t="s">
        <v>215</v>
      </c>
      <c r="G125" s="86" t="s">
        <v>373</v>
      </c>
      <c r="H125" s="83">
        <v>160000</v>
      </c>
      <c r="I125" s="84">
        <v>76382.149999999994</v>
      </c>
      <c r="J125" s="84">
        <v>160000</v>
      </c>
      <c r="K125" s="83">
        <v>0</v>
      </c>
      <c r="L125" s="83">
        <f t="shared" ref="L125" si="28">K125/H125*100</f>
        <v>0</v>
      </c>
      <c r="M125" s="83">
        <f t="shared" si="18"/>
        <v>0</v>
      </c>
      <c r="N125" s="85">
        <f t="shared" si="24"/>
        <v>0</v>
      </c>
    </row>
    <row r="126" spans="1:14" ht="15" customHeight="1">
      <c r="A126" s="72" t="s">
        <v>171</v>
      </c>
      <c r="B126" s="72" t="s">
        <v>167</v>
      </c>
      <c r="C126" s="72" t="s">
        <v>169</v>
      </c>
      <c r="D126" s="87" t="s">
        <v>139</v>
      </c>
      <c r="E126" s="76">
        <v>615117</v>
      </c>
      <c r="F126" s="82" t="s">
        <v>215</v>
      </c>
      <c r="G126" s="86" t="s">
        <v>374</v>
      </c>
      <c r="H126" s="83">
        <v>10000</v>
      </c>
      <c r="I126" s="84">
        <v>0</v>
      </c>
      <c r="J126" s="84">
        <v>10000</v>
      </c>
      <c r="K126" s="83">
        <v>0</v>
      </c>
      <c r="L126" s="83">
        <f t="shared" si="15"/>
        <v>0</v>
      </c>
      <c r="M126" s="83">
        <f t="shared" si="18"/>
        <v>0</v>
      </c>
      <c r="N126" s="85">
        <f t="shared" si="24"/>
        <v>0</v>
      </c>
    </row>
    <row r="127" spans="1:14" ht="15" customHeight="1">
      <c r="A127" s="72" t="s">
        <v>171</v>
      </c>
      <c r="B127" s="72" t="s">
        <v>167</v>
      </c>
      <c r="C127" s="72" t="s">
        <v>169</v>
      </c>
      <c r="D127" s="87" t="s">
        <v>139</v>
      </c>
      <c r="E127" s="76">
        <v>615117</v>
      </c>
      <c r="F127" s="82" t="s">
        <v>215</v>
      </c>
      <c r="G127" s="86" t="s">
        <v>583</v>
      </c>
      <c r="H127" s="83">
        <v>0</v>
      </c>
      <c r="I127" s="84">
        <v>0</v>
      </c>
      <c r="J127" s="84">
        <v>0</v>
      </c>
      <c r="K127" s="83">
        <v>15000</v>
      </c>
      <c r="L127" s="83" t="e">
        <f t="shared" si="15"/>
        <v>#DIV/0!</v>
      </c>
      <c r="M127" s="83" t="e">
        <f t="shared" si="18"/>
        <v>#DIV/0!</v>
      </c>
      <c r="N127" s="85">
        <f t="shared" si="24"/>
        <v>9.380844265977704E-4</v>
      </c>
    </row>
    <row r="128" spans="1:14" ht="15" customHeight="1">
      <c r="A128" s="72" t="s">
        <v>171</v>
      </c>
      <c r="B128" s="72" t="s">
        <v>167</v>
      </c>
      <c r="C128" s="72" t="s">
        <v>169</v>
      </c>
      <c r="D128" s="87" t="s">
        <v>139</v>
      </c>
      <c r="E128" s="76">
        <v>615117</v>
      </c>
      <c r="F128" s="82" t="s">
        <v>215</v>
      </c>
      <c r="G128" s="86" t="s">
        <v>586</v>
      </c>
      <c r="H128" s="83">
        <v>0</v>
      </c>
      <c r="I128" s="84">
        <v>0</v>
      </c>
      <c r="J128" s="84">
        <v>0</v>
      </c>
      <c r="K128" s="83">
        <v>130000</v>
      </c>
      <c r="L128" s="83" t="e">
        <f t="shared" si="15"/>
        <v>#DIV/0!</v>
      </c>
      <c r="M128" s="83" t="e">
        <f t="shared" si="18"/>
        <v>#DIV/0!</v>
      </c>
      <c r="N128" s="85">
        <f t="shared" si="24"/>
        <v>8.1300650305140103E-3</v>
      </c>
    </row>
    <row r="129" spans="1:14" ht="25.5" customHeight="1">
      <c r="A129" s="72" t="s">
        <v>171</v>
      </c>
      <c r="B129" s="72" t="s">
        <v>167</v>
      </c>
      <c r="C129" s="72" t="s">
        <v>169</v>
      </c>
      <c r="D129" s="87" t="s">
        <v>139</v>
      </c>
      <c r="E129" s="76">
        <v>615117</v>
      </c>
      <c r="F129" s="82" t="s">
        <v>215</v>
      </c>
      <c r="G129" s="86" t="s">
        <v>375</v>
      </c>
      <c r="H129" s="83">
        <v>18500</v>
      </c>
      <c r="I129" s="84">
        <v>18557.490000000002</v>
      </c>
      <c r="J129" s="84">
        <v>18558</v>
      </c>
      <c r="K129" s="83">
        <v>0</v>
      </c>
      <c r="L129" s="83">
        <f t="shared" si="15"/>
        <v>0</v>
      </c>
      <c r="M129" s="83">
        <f t="shared" si="18"/>
        <v>0</v>
      </c>
      <c r="N129" s="85">
        <f t="shared" si="24"/>
        <v>0</v>
      </c>
    </row>
    <row r="130" spans="1:14" ht="15" customHeight="1">
      <c r="A130" s="72" t="s">
        <v>171</v>
      </c>
      <c r="B130" s="72" t="s">
        <v>167</v>
      </c>
      <c r="C130" s="72" t="s">
        <v>169</v>
      </c>
      <c r="D130" s="87" t="s">
        <v>139</v>
      </c>
      <c r="E130" s="76">
        <v>615117</v>
      </c>
      <c r="F130" s="82" t="s">
        <v>215</v>
      </c>
      <c r="G130" s="86" t="s">
        <v>376</v>
      </c>
      <c r="H130" s="83">
        <v>10000</v>
      </c>
      <c r="I130" s="84">
        <v>0</v>
      </c>
      <c r="J130" s="84">
        <v>10000</v>
      </c>
      <c r="K130" s="83">
        <v>0</v>
      </c>
      <c r="L130" s="83">
        <f t="shared" si="15"/>
        <v>0</v>
      </c>
      <c r="M130" s="83">
        <f t="shared" si="18"/>
        <v>0</v>
      </c>
      <c r="N130" s="85">
        <f t="shared" si="24"/>
        <v>0</v>
      </c>
    </row>
    <row r="131" spans="1:14" ht="15" customHeight="1">
      <c r="A131" s="72" t="s">
        <v>171</v>
      </c>
      <c r="B131" s="72" t="s">
        <v>167</v>
      </c>
      <c r="C131" s="72" t="s">
        <v>169</v>
      </c>
      <c r="D131" s="87" t="s">
        <v>139</v>
      </c>
      <c r="E131" s="76">
        <v>615117</v>
      </c>
      <c r="F131" s="82" t="s">
        <v>215</v>
      </c>
      <c r="G131" s="86" t="s">
        <v>377</v>
      </c>
      <c r="H131" s="83">
        <v>7000</v>
      </c>
      <c r="I131" s="84">
        <v>0</v>
      </c>
      <c r="J131" s="84">
        <v>7000</v>
      </c>
      <c r="K131" s="83">
        <v>0</v>
      </c>
      <c r="L131" s="83">
        <f t="shared" si="15"/>
        <v>0</v>
      </c>
      <c r="M131" s="83">
        <f t="shared" si="18"/>
        <v>0</v>
      </c>
      <c r="N131" s="85">
        <f t="shared" si="24"/>
        <v>0</v>
      </c>
    </row>
    <row r="132" spans="1:14" ht="24.75" customHeight="1">
      <c r="A132" s="72" t="s">
        <v>171</v>
      </c>
      <c r="B132" s="72" t="s">
        <v>167</v>
      </c>
      <c r="C132" s="72" t="s">
        <v>169</v>
      </c>
      <c r="D132" s="87" t="s">
        <v>508</v>
      </c>
      <c r="E132" s="76">
        <v>615117</v>
      </c>
      <c r="F132" s="82" t="s">
        <v>215</v>
      </c>
      <c r="G132" s="86" t="s">
        <v>378</v>
      </c>
      <c r="H132" s="83">
        <v>15000</v>
      </c>
      <c r="I132" s="84">
        <v>0</v>
      </c>
      <c r="J132" s="84">
        <v>15000</v>
      </c>
      <c r="K132" s="83">
        <v>0</v>
      </c>
      <c r="L132" s="83">
        <f t="shared" si="15"/>
        <v>0</v>
      </c>
      <c r="M132" s="83">
        <f t="shared" ref="M132:M196" si="29">K132/J132</f>
        <v>0</v>
      </c>
      <c r="N132" s="85">
        <f t="shared" si="24"/>
        <v>0</v>
      </c>
    </row>
    <row r="133" spans="1:14" ht="15" customHeight="1">
      <c r="A133" s="72" t="s">
        <v>171</v>
      </c>
      <c r="B133" s="72" t="s">
        <v>167</v>
      </c>
      <c r="C133" s="72" t="s">
        <v>169</v>
      </c>
      <c r="D133" s="87" t="s">
        <v>508</v>
      </c>
      <c r="E133" s="76">
        <v>615117</v>
      </c>
      <c r="F133" s="82" t="s">
        <v>215</v>
      </c>
      <c r="G133" s="86" t="s">
        <v>379</v>
      </c>
      <c r="H133" s="83">
        <v>7000</v>
      </c>
      <c r="I133" s="84">
        <v>0</v>
      </c>
      <c r="J133" s="84">
        <v>7000</v>
      </c>
      <c r="K133" s="83">
        <v>0</v>
      </c>
      <c r="L133" s="83">
        <f t="shared" ref="L133:L136" si="30">K133/H133*100</f>
        <v>0</v>
      </c>
      <c r="M133" s="83">
        <f t="shared" si="29"/>
        <v>0</v>
      </c>
      <c r="N133" s="85">
        <f t="shared" si="24"/>
        <v>0</v>
      </c>
    </row>
    <row r="134" spans="1:14" ht="15" customHeight="1">
      <c r="A134" s="72" t="s">
        <v>171</v>
      </c>
      <c r="B134" s="72" t="s">
        <v>167</v>
      </c>
      <c r="C134" s="72" t="s">
        <v>169</v>
      </c>
      <c r="D134" s="87" t="s">
        <v>508</v>
      </c>
      <c r="E134" s="76">
        <v>615117</v>
      </c>
      <c r="F134" s="82" t="s">
        <v>215</v>
      </c>
      <c r="G134" s="86" t="s">
        <v>380</v>
      </c>
      <c r="H134" s="83">
        <v>10000</v>
      </c>
      <c r="I134" s="84">
        <v>0</v>
      </c>
      <c r="J134" s="84">
        <v>10000</v>
      </c>
      <c r="K134" s="83">
        <v>0</v>
      </c>
      <c r="L134" s="83">
        <f t="shared" si="30"/>
        <v>0</v>
      </c>
      <c r="M134" s="83">
        <f t="shared" si="29"/>
        <v>0</v>
      </c>
      <c r="N134" s="85">
        <f t="shared" si="24"/>
        <v>0</v>
      </c>
    </row>
    <row r="135" spans="1:14" ht="15" customHeight="1">
      <c r="A135" s="72" t="s">
        <v>171</v>
      </c>
      <c r="B135" s="72" t="s">
        <v>167</v>
      </c>
      <c r="C135" s="72" t="s">
        <v>169</v>
      </c>
      <c r="D135" s="87" t="s">
        <v>508</v>
      </c>
      <c r="E135" s="76">
        <v>615117</v>
      </c>
      <c r="F135" s="82" t="s">
        <v>215</v>
      </c>
      <c r="G135" s="86" t="s">
        <v>381</v>
      </c>
      <c r="H135" s="83">
        <v>5000</v>
      </c>
      <c r="I135" s="84">
        <v>0</v>
      </c>
      <c r="J135" s="84">
        <v>5000</v>
      </c>
      <c r="K135" s="83">
        <v>0</v>
      </c>
      <c r="L135" s="83">
        <f t="shared" si="30"/>
        <v>0</v>
      </c>
      <c r="M135" s="83">
        <f t="shared" si="29"/>
        <v>0</v>
      </c>
      <c r="N135" s="85">
        <f t="shared" ref="N135:N146" si="31">K135/K$390</f>
        <v>0</v>
      </c>
    </row>
    <row r="136" spans="1:14" ht="24.75" customHeight="1">
      <c r="A136" s="72" t="s">
        <v>171</v>
      </c>
      <c r="B136" s="72" t="s">
        <v>167</v>
      </c>
      <c r="C136" s="72" t="s">
        <v>169</v>
      </c>
      <c r="D136" s="87" t="s">
        <v>236</v>
      </c>
      <c r="E136" s="76">
        <v>615117</v>
      </c>
      <c r="F136" s="82" t="s">
        <v>215</v>
      </c>
      <c r="G136" s="328" t="s">
        <v>529</v>
      </c>
      <c r="H136" s="83">
        <v>60000</v>
      </c>
      <c r="I136" s="84">
        <v>33129.980000000003</v>
      </c>
      <c r="J136" s="84">
        <v>50000</v>
      </c>
      <c r="K136" s="83">
        <v>60000</v>
      </c>
      <c r="L136" s="83">
        <f t="shared" si="30"/>
        <v>100</v>
      </c>
      <c r="M136" s="83">
        <f t="shared" si="29"/>
        <v>1.2</v>
      </c>
      <c r="N136" s="85">
        <f t="shared" si="31"/>
        <v>3.7523377063910816E-3</v>
      </c>
    </row>
    <row r="137" spans="1:14" ht="24.75" customHeight="1">
      <c r="A137" s="72" t="s">
        <v>171</v>
      </c>
      <c r="B137" s="72" t="s">
        <v>167</v>
      </c>
      <c r="C137" s="72" t="s">
        <v>169</v>
      </c>
      <c r="D137" s="87" t="s">
        <v>236</v>
      </c>
      <c r="E137" s="76">
        <v>615117</v>
      </c>
      <c r="F137" s="82" t="s">
        <v>215</v>
      </c>
      <c r="G137" s="86" t="s">
        <v>587</v>
      </c>
      <c r="H137" s="83">
        <v>10000</v>
      </c>
      <c r="I137" s="84">
        <v>0</v>
      </c>
      <c r="J137" s="84">
        <v>0</v>
      </c>
      <c r="K137" s="333">
        <v>30000</v>
      </c>
      <c r="L137" s="83">
        <f t="shared" ref="L137:L165" si="32">K137/H137*100</f>
        <v>300</v>
      </c>
      <c r="M137" s="83" t="e">
        <f t="shared" si="29"/>
        <v>#DIV/0!</v>
      </c>
      <c r="N137" s="85">
        <f t="shared" si="31"/>
        <v>1.8761688531955408E-3</v>
      </c>
    </row>
    <row r="138" spans="1:14" ht="13.95" customHeight="1">
      <c r="A138" s="72" t="s">
        <v>171</v>
      </c>
      <c r="B138" s="72" t="s">
        <v>167</v>
      </c>
      <c r="C138" s="72" t="s">
        <v>169</v>
      </c>
      <c r="D138" s="87" t="s">
        <v>236</v>
      </c>
      <c r="E138" s="76">
        <v>615117</v>
      </c>
      <c r="F138" s="82" t="s">
        <v>215</v>
      </c>
      <c r="G138" s="86" t="s">
        <v>580</v>
      </c>
      <c r="H138" s="83">
        <v>0</v>
      </c>
      <c r="I138" s="84">
        <v>0</v>
      </c>
      <c r="J138" s="84">
        <v>0</v>
      </c>
      <c r="K138" s="333">
        <v>50000</v>
      </c>
      <c r="L138" s="83" t="e">
        <f t="shared" si="32"/>
        <v>#DIV/0!</v>
      </c>
      <c r="M138" s="83" t="e">
        <f t="shared" si="29"/>
        <v>#DIV/0!</v>
      </c>
      <c r="N138" s="85">
        <f t="shared" si="31"/>
        <v>3.1269480886592345E-3</v>
      </c>
    </row>
    <row r="139" spans="1:14" ht="23.4" customHeight="1">
      <c r="A139" s="72" t="s">
        <v>171</v>
      </c>
      <c r="B139" s="72" t="s">
        <v>167</v>
      </c>
      <c r="C139" s="72" t="s">
        <v>169</v>
      </c>
      <c r="D139" s="87" t="s">
        <v>507</v>
      </c>
      <c r="E139" s="76">
        <v>615117</v>
      </c>
      <c r="F139" s="82" t="s">
        <v>215</v>
      </c>
      <c r="G139" s="328" t="s">
        <v>588</v>
      </c>
      <c r="H139" s="83">
        <v>15000</v>
      </c>
      <c r="I139" s="84">
        <v>0</v>
      </c>
      <c r="J139" s="84">
        <v>15000</v>
      </c>
      <c r="K139" s="83">
        <v>20000</v>
      </c>
      <c r="L139" s="83">
        <f t="shared" ref="L139:L148" si="33">K139/H139*100</f>
        <v>133.33333333333331</v>
      </c>
      <c r="M139" s="83">
        <f t="shared" si="29"/>
        <v>1.3333333333333333</v>
      </c>
      <c r="N139" s="85">
        <f t="shared" si="31"/>
        <v>1.2507792354636939E-3</v>
      </c>
    </row>
    <row r="140" spans="1:14" ht="15" customHeight="1">
      <c r="A140" s="72" t="s">
        <v>171</v>
      </c>
      <c r="B140" s="72" t="s">
        <v>167</v>
      </c>
      <c r="C140" s="72" t="s">
        <v>169</v>
      </c>
      <c r="D140" s="87" t="s">
        <v>236</v>
      </c>
      <c r="E140" s="76">
        <v>615117</v>
      </c>
      <c r="F140" s="82" t="s">
        <v>215</v>
      </c>
      <c r="G140" s="86" t="s">
        <v>383</v>
      </c>
      <c r="H140" s="83">
        <v>270000</v>
      </c>
      <c r="I140" s="84">
        <v>3064.18</v>
      </c>
      <c r="J140" s="84">
        <v>3064.18</v>
      </c>
      <c r="K140" s="333">
        <v>960000</v>
      </c>
      <c r="L140" s="83">
        <f t="shared" si="33"/>
        <v>355.55555555555554</v>
      </c>
      <c r="M140" s="83">
        <f t="shared" si="29"/>
        <v>313.29752168606285</v>
      </c>
      <c r="N140" s="85">
        <f t="shared" si="31"/>
        <v>6.0037403302257306E-2</v>
      </c>
    </row>
    <row r="141" spans="1:14" ht="15" customHeight="1">
      <c r="A141" s="72" t="s">
        <v>171</v>
      </c>
      <c r="B141" s="72" t="s">
        <v>167</v>
      </c>
      <c r="C141" s="72" t="s">
        <v>169</v>
      </c>
      <c r="D141" s="87" t="s">
        <v>236</v>
      </c>
      <c r="E141" s="76">
        <v>615117</v>
      </c>
      <c r="F141" s="82" t="s">
        <v>215</v>
      </c>
      <c r="G141" s="86" t="s">
        <v>384</v>
      </c>
      <c r="H141" s="83">
        <v>80000</v>
      </c>
      <c r="I141" s="84">
        <v>0</v>
      </c>
      <c r="J141" s="84">
        <v>0</v>
      </c>
      <c r="K141" s="83">
        <v>80000</v>
      </c>
      <c r="L141" s="83">
        <f t="shared" si="33"/>
        <v>100</v>
      </c>
      <c r="M141" s="83" t="e">
        <f t="shared" si="29"/>
        <v>#DIV/0!</v>
      </c>
      <c r="N141" s="85">
        <f t="shared" si="31"/>
        <v>5.0031169418547758E-3</v>
      </c>
    </row>
    <row r="142" spans="1:14" ht="15" customHeight="1">
      <c r="A142" s="72" t="s">
        <v>171</v>
      </c>
      <c r="B142" s="72" t="s">
        <v>167</v>
      </c>
      <c r="C142" s="72" t="s">
        <v>169</v>
      </c>
      <c r="D142" s="87" t="s">
        <v>236</v>
      </c>
      <c r="E142" s="76">
        <v>615117</v>
      </c>
      <c r="F142" s="82" t="s">
        <v>215</v>
      </c>
      <c r="G142" s="86" t="s">
        <v>385</v>
      </c>
      <c r="H142" s="83">
        <v>20000</v>
      </c>
      <c r="I142" s="84">
        <v>19952.02</v>
      </c>
      <c r="J142" s="84">
        <v>20000</v>
      </c>
      <c r="K142" s="83">
        <v>0</v>
      </c>
      <c r="L142" s="83">
        <f t="shared" si="33"/>
        <v>0</v>
      </c>
      <c r="M142" s="83">
        <f t="shared" si="29"/>
        <v>0</v>
      </c>
      <c r="N142" s="85">
        <f t="shared" si="31"/>
        <v>0</v>
      </c>
    </row>
    <row r="143" spans="1:14" ht="15" customHeight="1">
      <c r="A143" s="72" t="s">
        <v>171</v>
      </c>
      <c r="B143" s="72" t="s">
        <v>167</v>
      </c>
      <c r="C143" s="72" t="s">
        <v>169</v>
      </c>
      <c r="D143" s="87" t="s">
        <v>236</v>
      </c>
      <c r="E143" s="76">
        <v>615117</v>
      </c>
      <c r="F143" s="82" t="s">
        <v>215</v>
      </c>
      <c r="G143" s="86" t="s">
        <v>386</v>
      </c>
      <c r="H143" s="83">
        <v>40000</v>
      </c>
      <c r="I143" s="84">
        <v>40092.06</v>
      </c>
      <c r="J143" s="84">
        <v>40092</v>
      </c>
      <c r="K143" s="83">
        <v>0</v>
      </c>
      <c r="L143" s="83">
        <f t="shared" si="33"/>
        <v>0</v>
      </c>
      <c r="M143" s="83">
        <f t="shared" si="29"/>
        <v>0</v>
      </c>
      <c r="N143" s="85">
        <f t="shared" si="31"/>
        <v>0</v>
      </c>
    </row>
    <row r="144" spans="1:14" ht="15" customHeight="1">
      <c r="A144" s="72" t="s">
        <v>171</v>
      </c>
      <c r="B144" s="72" t="s">
        <v>167</v>
      </c>
      <c r="C144" s="72" t="s">
        <v>169</v>
      </c>
      <c r="D144" s="87" t="s">
        <v>236</v>
      </c>
      <c r="E144" s="76">
        <v>615117</v>
      </c>
      <c r="F144" s="82" t="s">
        <v>215</v>
      </c>
      <c r="G144" s="86" t="s">
        <v>387</v>
      </c>
      <c r="H144" s="83">
        <v>5000</v>
      </c>
      <c r="I144" s="84">
        <v>0</v>
      </c>
      <c r="J144" s="84">
        <v>0</v>
      </c>
      <c r="K144" s="83">
        <v>5000</v>
      </c>
      <c r="L144" s="83">
        <f t="shared" si="33"/>
        <v>100</v>
      </c>
      <c r="M144" s="83" t="e">
        <f t="shared" si="29"/>
        <v>#DIV/0!</v>
      </c>
      <c r="N144" s="85">
        <f t="shared" si="31"/>
        <v>3.1269480886592348E-4</v>
      </c>
    </row>
    <row r="145" spans="1:14" ht="15" customHeight="1">
      <c r="A145" s="72" t="s">
        <v>171</v>
      </c>
      <c r="B145" s="72" t="s">
        <v>167</v>
      </c>
      <c r="C145" s="72" t="s">
        <v>169</v>
      </c>
      <c r="D145" s="87" t="s">
        <v>512</v>
      </c>
      <c r="E145" s="76">
        <v>615117</v>
      </c>
      <c r="F145" s="82" t="s">
        <v>215</v>
      </c>
      <c r="G145" s="86" t="s">
        <v>388</v>
      </c>
      <c r="H145" s="83">
        <v>0</v>
      </c>
      <c r="I145" s="84">
        <v>0</v>
      </c>
      <c r="J145" s="84">
        <v>0</v>
      </c>
      <c r="K145" s="83">
        <v>40000</v>
      </c>
      <c r="L145" s="83" t="e">
        <f t="shared" si="33"/>
        <v>#DIV/0!</v>
      </c>
      <c r="M145" s="83" t="e">
        <f t="shared" si="29"/>
        <v>#DIV/0!</v>
      </c>
      <c r="N145" s="85">
        <f t="shared" si="31"/>
        <v>2.5015584709273879E-3</v>
      </c>
    </row>
    <row r="146" spans="1:14" ht="15" customHeight="1">
      <c r="A146" s="72" t="s">
        <v>171</v>
      </c>
      <c r="B146" s="72" t="s">
        <v>167</v>
      </c>
      <c r="C146" s="72" t="s">
        <v>169</v>
      </c>
      <c r="D146" s="87" t="s">
        <v>236</v>
      </c>
      <c r="E146" s="76">
        <v>615411</v>
      </c>
      <c r="F146" s="82" t="s">
        <v>215</v>
      </c>
      <c r="G146" s="86" t="s">
        <v>581</v>
      </c>
      <c r="H146" s="83">
        <v>0</v>
      </c>
      <c r="I146" s="84">
        <v>0</v>
      </c>
      <c r="J146" s="84">
        <v>0</v>
      </c>
      <c r="K146" s="83">
        <v>40000</v>
      </c>
      <c r="L146" s="83" t="e">
        <f t="shared" si="33"/>
        <v>#DIV/0!</v>
      </c>
      <c r="M146" s="83" t="e">
        <f t="shared" si="29"/>
        <v>#DIV/0!</v>
      </c>
      <c r="N146" s="85">
        <f t="shared" si="31"/>
        <v>2.5015584709273879E-3</v>
      </c>
    </row>
    <row r="147" spans="1:14" ht="15" customHeight="1">
      <c r="A147" s="72"/>
      <c r="B147" s="72"/>
      <c r="C147" s="72"/>
      <c r="D147" s="87"/>
      <c r="E147" s="97">
        <v>821000</v>
      </c>
      <c r="F147" s="98"/>
      <c r="G147" s="99" t="s">
        <v>389</v>
      </c>
      <c r="H147" s="115">
        <f>SUM(H148:H163)</f>
        <v>1635796</v>
      </c>
      <c r="I147" s="115">
        <f>SUM(I148:I163)</f>
        <v>481385.97000000003</v>
      </c>
      <c r="J147" s="115">
        <f t="shared" ref="J147:K147" si="34">SUM(J148:J163)</f>
        <v>1297748</v>
      </c>
      <c r="K147" s="115">
        <f t="shared" si="34"/>
        <v>1528980</v>
      </c>
      <c r="L147" s="83"/>
      <c r="M147" s="83"/>
      <c r="N147" s="85"/>
    </row>
    <row r="148" spans="1:14" ht="15" customHeight="1">
      <c r="A148" s="72" t="s">
        <v>171</v>
      </c>
      <c r="B148" s="72" t="s">
        <v>167</v>
      </c>
      <c r="C148" s="72" t="s">
        <v>169</v>
      </c>
      <c r="D148" s="87" t="s">
        <v>236</v>
      </c>
      <c r="E148" s="76">
        <v>821211</v>
      </c>
      <c r="F148" s="82" t="s">
        <v>215</v>
      </c>
      <c r="G148" s="86" t="s">
        <v>390</v>
      </c>
      <c r="H148" s="83">
        <v>223286</v>
      </c>
      <c r="I148" s="84">
        <v>0</v>
      </c>
      <c r="J148" s="84">
        <v>223286</v>
      </c>
      <c r="K148" s="333">
        <v>150000</v>
      </c>
      <c r="L148" s="83">
        <f t="shared" si="33"/>
        <v>67.17841691821252</v>
      </c>
      <c r="M148" s="83">
        <f t="shared" si="29"/>
        <v>0.67178416918212513</v>
      </c>
      <c r="N148" s="85">
        <f>K148/K$390</f>
        <v>9.3808442659777044E-3</v>
      </c>
    </row>
    <row r="149" spans="1:14" ht="15" customHeight="1">
      <c r="A149" s="72" t="s">
        <v>171</v>
      </c>
      <c r="B149" s="72" t="s">
        <v>167</v>
      </c>
      <c r="C149" s="72" t="s">
        <v>169</v>
      </c>
      <c r="D149" s="87" t="s">
        <v>236</v>
      </c>
      <c r="E149" s="76">
        <v>821211</v>
      </c>
      <c r="F149" s="82" t="s">
        <v>215</v>
      </c>
      <c r="G149" s="86" t="s">
        <v>391</v>
      </c>
      <c r="H149" s="83">
        <v>120000</v>
      </c>
      <c r="I149" s="84">
        <v>23007.1</v>
      </c>
      <c r="J149" s="84">
        <v>120000</v>
      </c>
      <c r="K149" s="83">
        <v>120000</v>
      </c>
      <c r="L149" s="83">
        <f t="shared" si="32"/>
        <v>100</v>
      </c>
      <c r="M149" s="83">
        <f t="shared" si="29"/>
        <v>1</v>
      </c>
      <c r="N149" s="85">
        <f>K149/K$390</f>
        <v>7.5046754127821632E-3</v>
      </c>
    </row>
    <row r="150" spans="1:14" ht="15" customHeight="1">
      <c r="A150" s="72" t="s">
        <v>171</v>
      </c>
      <c r="B150" s="72" t="s">
        <v>167</v>
      </c>
      <c r="C150" s="72" t="s">
        <v>169</v>
      </c>
      <c r="D150" s="87" t="s">
        <v>236</v>
      </c>
      <c r="E150" s="76">
        <v>821211</v>
      </c>
      <c r="F150" s="82" t="s">
        <v>215</v>
      </c>
      <c r="G150" s="86" t="s">
        <v>392</v>
      </c>
      <c r="H150" s="83">
        <v>495000</v>
      </c>
      <c r="I150" s="84">
        <v>223835.44</v>
      </c>
      <c r="J150" s="84">
        <v>495000</v>
      </c>
      <c r="K150" s="333">
        <v>300000</v>
      </c>
      <c r="L150" s="83">
        <f t="shared" si="32"/>
        <v>60.606060606060609</v>
      </c>
      <c r="M150" s="83">
        <f t="shared" si="29"/>
        <v>0.60606060606060608</v>
      </c>
      <c r="N150" s="85">
        <f>K150/K$390</f>
        <v>1.8761688531955409E-2</v>
      </c>
    </row>
    <row r="151" spans="1:14" ht="15" customHeight="1">
      <c r="A151" s="72" t="s">
        <v>171</v>
      </c>
      <c r="B151" s="72" t="s">
        <v>167</v>
      </c>
      <c r="C151" s="72" t="s">
        <v>169</v>
      </c>
      <c r="D151" s="87" t="s">
        <v>236</v>
      </c>
      <c r="E151" s="76">
        <v>821211</v>
      </c>
      <c r="F151" s="82" t="s">
        <v>215</v>
      </c>
      <c r="G151" s="86" t="s">
        <v>589</v>
      </c>
      <c r="H151" s="83">
        <v>0</v>
      </c>
      <c r="I151" s="84">
        <v>0</v>
      </c>
      <c r="J151" s="84">
        <v>0</v>
      </c>
      <c r="K151" s="333">
        <v>120000</v>
      </c>
      <c r="L151" s="83"/>
      <c r="M151" s="83"/>
      <c r="N151" s="85"/>
    </row>
    <row r="152" spans="1:14" ht="15" customHeight="1">
      <c r="A152" s="72" t="s">
        <v>171</v>
      </c>
      <c r="B152" s="72" t="s">
        <v>167</v>
      </c>
      <c r="C152" s="72" t="s">
        <v>169</v>
      </c>
      <c r="D152" s="87" t="s">
        <v>236</v>
      </c>
      <c r="E152" s="76">
        <v>821211</v>
      </c>
      <c r="F152" s="82" t="s">
        <v>215</v>
      </c>
      <c r="G152" s="86" t="s">
        <v>382</v>
      </c>
      <c r="H152" s="83">
        <v>200000</v>
      </c>
      <c r="I152" s="84">
        <v>130937.73</v>
      </c>
      <c r="J152" s="84">
        <v>130937</v>
      </c>
      <c r="K152" s="333">
        <v>300000</v>
      </c>
      <c r="L152" s="83">
        <f t="shared" si="32"/>
        <v>150</v>
      </c>
      <c r="M152" s="83">
        <f t="shared" si="29"/>
        <v>2.2911782002031513</v>
      </c>
      <c r="N152" s="85">
        <f t="shared" ref="N152:N159" si="35">K152/K$390</f>
        <v>1.8761688531955409E-2</v>
      </c>
    </row>
    <row r="153" spans="1:14" ht="15" customHeight="1">
      <c r="A153" s="72" t="s">
        <v>171</v>
      </c>
      <c r="B153" s="72" t="s">
        <v>167</v>
      </c>
      <c r="C153" s="72" t="s">
        <v>169</v>
      </c>
      <c r="D153" s="87" t="s">
        <v>236</v>
      </c>
      <c r="E153" s="76">
        <v>821211</v>
      </c>
      <c r="F153" s="82" t="s">
        <v>215</v>
      </c>
      <c r="G153" s="86" t="s">
        <v>393</v>
      </c>
      <c r="H153" s="83">
        <v>0</v>
      </c>
      <c r="I153" s="84">
        <v>0</v>
      </c>
      <c r="J153" s="84">
        <v>0</v>
      </c>
      <c r="K153" s="333">
        <v>50000</v>
      </c>
      <c r="L153" s="83" t="e">
        <f t="shared" si="32"/>
        <v>#DIV/0!</v>
      </c>
      <c r="M153" s="83" t="e">
        <f t="shared" si="29"/>
        <v>#DIV/0!</v>
      </c>
      <c r="N153" s="85">
        <f t="shared" si="35"/>
        <v>3.1269480886592345E-3</v>
      </c>
    </row>
    <row r="154" spans="1:14" ht="24" customHeight="1">
      <c r="A154" s="72" t="s">
        <v>171</v>
      </c>
      <c r="B154" s="72" t="s">
        <v>167</v>
      </c>
      <c r="C154" s="72" t="s">
        <v>169</v>
      </c>
      <c r="D154" s="87" t="s">
        <v>139</v>
      </c>
      <c r="E154" s="76">
        <v>821224</v>
      </c>
      <c r="F154" s="82" t="s">
        <v>215</v>
      </c>
      <c r="G154" s="86" t="s">
        <v>394</v>
      </c>
      <c r="H154" s="83">
        <v>80530</v>
      </c>
      <c r="I154" s="84">
        <v>80525.45</v>
      </c>
      <c r="J154" s="84">
        <v>80525</v>
      </c>
      <c r="K154" s="83">
        <v>0</v>
      </c>
      <c r="L154" s="83">
        <f t="shared" si="32"/>
        <v>0</v>
      </c>
      <c r="M154" s="83">
        <f t="shared" si="29"/>
        <v>0</v>
      </c>
      <c r="N154" s="85">
        <f t="shared" si="35"/>
        <v>0</v>
      </c>
    </row>
    <row r="155" spans="1:14" ht="23.25" customHeight="1">
      <c r="A155" s="72" t="s">
        <v>171</v>
      </c>
      <c r="B155" s="72" t="s">
        <v>167</v>
      </c>
      <c r="C155" s="72" t="s">
        <v>169</v>
      </c>
      <c r="D155" s="87" t="s">
        <v>508</v>
      </c>
      <c r="E155" s="76">
        <v>821224</v>
      </c>
      <c r="F155" s="82" t="s">
        <v>215</v>
      </c>
      <c r="G155" s="86" t="s">
        <v>395</v>
      </c>
      <c r="H155" s="83">
        <v>120000</v>
      </c>
      <c r="I155" s="84">
        <v>0</v>
      </c>
      <c r="J155" s="84">
        <v>120000</v>
      </c>
      <c r="K155" s="83">
        <v>120000</v>
      </c>
      <c r="L155" s="83">
        <f t="shared" si="32"/>
        <v>100</v>
      </c>
      <c r="M155" s="83">
        <f t="shared" si="29"/>
        <v>1</v>
      </c>
      <c r="N155" s="85">
        <f t="shared" si="35"/>
        <v>7.5046754127821632E-3</v>
      </c>
    </row>
    <row r="156" spans="1:14" ht="23.25" customHeight="1">
      <c r="A156" s="72" t="s">
        <v>171</v>
      </c>
      <c r="B156" s="72" t="s">
        <v>167</v>
      </c>
      <c r="C156" s="72" t="s">
        <v>169</v>
      </c>
      <c r="D156" s="87" t="s">
        <v>508</v>
      </c>
      <c r="E156" s="76">
        <v>821224</v>
      </c>
      <c r="F156" s="82" t="s">
        <v>215</v>
      </c>
      <c r="G156" s="328" t="s">
        <v>530</v>
      </c>
      <c r="H156" s="83">
        <v>50000</v>
      </c>
      <c r="I156" s="84">
        <v>0</v>
      </c>
      <c r="J156" s="84">
        <v>0</v>
      </c>
      <c r="K156" s="83">
        <v>50000</v>
      </c>
      <c r="L156" s="83">
        <f t="shared" si="32"/>
        <v>100</v>
      </c>
      <c r="M156" s="83" t="e">
        <f t="shared" si="29"/>
        <v>#DIV/0!</v>
      </c>
      <c r="N156" s="85">
        <f t="shared" si="35"/>
        <v>3.1269480886592345E-3</v>
      </c>
    </row>
    <row r="157" spans="1:14" ht="23.25" customHeight="1">
      <c r="A157" s="72" t="s">
        <v>171</v>
      </c>
      <c r="B157" s="72" t="s">
        <v>167</v>
      </c>
      <c r="C157" s="72" t="s">
        <v>167</v>
      </c>
      <c r="D157" s="87" t="s">
        <v>236</v>
      </c>
      <c r="E157" s="76">
        <v>821222</v>
      </c>
      <c r="F157" s="82" t="s">
        <v>215</v>
      </c>
      <c r="G157" s="86" t="s">
        <v>539</v>
      </c>
      <c r="H157" s="83">
        <v>30000</v>
      </c>
      <c r="I157" s="84">
        <v>0</v>
      </c>
      <c r="J157" s="84">
        <v>0</v>
      </c>
      <c r="K157" s="83">
        <v>30000</v>
      </c>
      <c r="L157" s="83">
        <f t="shared" si="32"/>
        <v>100</v>
      </c>
      <c r="M157" s="83" t="e">
        <f t="shared" si="29"/>
        <v>#DIV/0!</v>
      </c>
      <c r="N157" s="85">
        <f t="shared" si="35"/>
        <v>1.8761688531955408E-3</v>
      </c>
    </row>
    <row r="158" spans="1:14" ht="25.95" customHeight="1">
      <c r="A158" s="72" t="s">
        <v>171</v>
      </c>
      <c r="B158" s="72" t="s">
        <v>167</v>
      </c>
      <c r="C158" s="72" t="s">
        <v>169</v>
      </c>
      <c r="D158" s="87" t="s">
        <v>236</v>
      </c>
      <c r="E158" s="76">
        <v>821222</v>
      </c>
      <c r="F158" s="82" t="s">
        <v>215</v>
      </c>
      <c r="G158" s="116" t="s">
        <v>531</v>
      </c>
      <c r="H158" s="83">
        <v>188980</v>
      </c>
      <c r="I158" s="84">
        <v>0</v>
      </c>
      <c r="J158" s="84">
        <v>0</v>
      </c>
      <c r="K158" s="83">
        <v>188980</v>
      </c>
      <c r="L158" s="83">
        <f t="shared" si="32"/>
        <v>100</v>
      </c>
      <c r="M158" s="83" t="e">
        <f t="shared" si="29"/>
        <v>#DIV/0!</v>
      </c>
      <c r="N158" s="85">
        <f t="shared" si="35"/>
        <v>1.1818612995896444E-2</v>
      </c>
    </row>
    <row r="159" spans="1:14" ht="15" customHeight="1">
      <c r="A159" s="72" t="s">
        <v>171</v>
      </c>
      <c r="B159" s="72" t="s">
        <v>167</v>
      </c>
      <c r="C159" s="72" t="s">
        <v>169</v>
      </c>
      <c r="D159" s="80" t="s">
        <v>116</v>
      </c>
      <c r="E159" s="76">
        <v>821311</v>
      </c>
      <c r="F159" s="82" t="s">
        <v>215</v>
      </c>
      <c r="G159" s="86" t="s">
        <v>109</v>
      </c>
      <c r="H159" s="83">
        <v>70000</v>
      </c>
      <c r="I159" s="84">
        <v>23080.25</v>
      </c>
      <c r="J159" s="84">
        <v>70000</v>
      </c>
      <c r="K159" s="83">
        <v>60000</v>
      </c>
      <c r="L159" s="83">
        <f t="shared" si="32"/>
        <v>85.714285714285708</v>
      </c>
      <c r="M159" s="83">
        <f t="shared" si="29"/>
        <v>0.8571428571428571</v>
      </c>
      <c r="N159" s="85">
        <f t="shared" si="35"/>
        <v>3.7523377063910816E-3</v>
      </c>
    </row>
    <row r="160" spans="1:14" ht="23.25" customHeight="1">
      <c r="A160" s="72" t="s">
        <v>171</v>
      </c>
      <c r="B160" s="72" t="s">
        <v>167</v>
      </c>
      <c r="C160" s="72" t="s">
        <v>169</v>
      </c>
      <c r="D160" s="80" t="s">
        <v>116</v>
      </c>
      <c r="E160" s="76">
        <v>821311</v>
      </c>
      <c r="F160" s="82" t="s">
        <v>118</v>
      </c>
      <c r="G160" s="338" t="s">
        <v>546</v>
      </c>
      <c r="H160" s="83">
        <v>0</v>
      </c>
      <c r="I160" s="84">
        <v>0</v>
      </c>
      <c r="J160" s="84">
        <v>0</v>
      </c>
      <c r="K160" s="339">
        <v>30000</v>
      </c>
      <c r="L160" s="83"/>
      <c r="M160" s="83" t="e">
        <f t="shared" si="29"/>
        <v>#DIV/0!</v>
      </c>
      <c r="N160" s="85"/>
    </row>
    <row r="161" spans="1:14" ht="15" customHeight="1">
      <c r="A161" s="72" t="s">
        <v>171</v>
      </c>
      <c r="B161" s="72" t="s">
        <v>167</v>
      </c>
      <c r="C161" s="72" t="s">
        <v>169</v>
      </c>
      <c r="D161" s="80" t="s">
        <v>116</v>
      </c>
      <c r="E161" s="76">
        <v>821312</v>
      </c>
      <c r="F161" s="82" t="s">
        <v>215</v>
      </c>
      <c r="G161" s="86" t="s">
        <v>396</v>
      </c>
      <c r="H161" s="83">
        <v>0</v>
      </c>
      <c r="I161" s="84">
        <v>0</v>
      </c>
      <c r="J161" s="84">
        <v>0</v>
      </c>
      <c r="K161" s="83">
        <v>5000</v>
      </c>
      <c r="L161" s="83" t="e">
        <f t="shared" si="32"/>
        <v>#DIV/0!</v>
      </c>
      <c r="M161" s="83" t="e">
        <f t="shared" si="29"/>
        <v>#DIV/0!</v>
      </c>
      <c r="N161" s="85">
        <f>K161/K$390</f>
        <v>3.1269480886592348E-4</v>
      </c>
    </row>
    <row r="162" spans="1:14" ht="15" customHeight="1">
      <c r="A162" s="72" t="s">
        <v>171</v>
      </c>
      <c r="B162" s="72" t="s">
        <v>167</v>
      </c>
      <c r="C162" s="72" t="s">
        <v>169</v>
      </c>
      <c r="D162" s="80" t="s">
        <v>116</v>
      </c>
      <c r="E162" s="76">
        <v>821313</v>
      </c>
      <c r="F162" s="82" t="s">
        <v>215</v>
      </c>
      <c r="G162" s="86" t="s">
        <v>397</v>
      </c>
      <c r="H162" s="83">
        <v>0</v>
      </c>
      <c r="I162" s="84">
        <v>0</v>
      </c>
      <c r="J162" s="84">
        <v>0</v>
      </c>
      <c r="K162" s="83">
        <v>5000</v>
      </c>
      <c r="L162" s="83" t="e">
        <f t="shared" si="32"/>
        <v>#DIV/0!</v>
      </c>
      <c r="M162" s="83" t="e">
        <f t="shared" si="29"/>
        <v>#DIV/0!</v>
      </c>
      <c r="N162" s="85">
        <f>K162/K$390</f>
        <v>3.1269480886592348E-4</v>
      </c>
    </row>
    <row r="163" spans="1:14" ht="24" customHeight="1">
      <c r="A163" s="72" t="s">
        <v>171</v>
      </c>
      <c r="B163" s="72" t="s">
        <v>167</v>
      </c>
      <c r="C163" s="72" t="s">
        <v>169</v>
      </c>
      <c r="D163" s="87" t="s">
        <v>508</v>
      </c>
      <c r="E163" s="76">
        <v>821321</v>
      </c>
      <c r="F163" s="82" t="s">
        <v>215</v>
      </c>
      <c r="G163" s="86" t="s">
        <v>398</v>
      </c>
      <c r="H163" s="83">
        <v>58000</v>
      </c>
      <c r="I163" s="84">
        <v>0</v>
      </c>
      <c r="J163" s="84">
        <v>58000</v>
      </c>
      <c r="K163" s="83">
        <v>0</v>
      </c>
      <c r="L163" s="83">
        <f t="shared" si="32"/>
        <v>0</v>
      </c>
      <c r="M163" s="83">
        <f t="shared" si="29"/>
        <v>0</v>
      </c>
      <c r="N163" s="85">
        <f>K163/K$390</f>
        <v>0</v>
      </c>
    </row>
    <row r="164" spans="1:14" ht="15" customHeight="1">
      <c r="A164" s="72"/>
      <c r="B164" s="72"/>
      <c r="C164" s="72"/>
      <c r="D164" s="87"/>
      <c r="E164" s="97">
        <v>823000</v>
      </c>
      <c r="F164" s="98"/>
      <c r="G164" s="99" t="s">
        <v>399</v>
      </c>
      <c r="H164" s="115">
        <f>SUM(H165)</f>
        <v>165000</v>
      </c>
      <c r="I164" s="115">
        <f t="shared" ref="I164:J164" si="36">SUM(I165)</f>
        <v>0</v>
      </c>
      <c r="J164" s="115">
        <f t="shared" si="36"/>
        <v>0</v>
      </c>
      <c r="K164" s="115">
        <f>SUM(K165)</f>
        <v>200000</v>
      </c>
      <c r="L164" s="83"/>
      <c r="M164" s="83" t="e">
        <f t="shared" si="29"/>
        <v>#DIV/0!</v>
      </c>
      <c r="N164" s="85"/>
    </row>
    <row r="165" spans="1:14" ht="15" customHeight="1">
      <c r="A165" s="72" t="s">
        <v>171</v>
      </c>
      <c r="B165" s="72" t="s">
        <v>167</v>
      </c>
      <c r="C165" s="72" t="s">
        <v>169</v>
      </c>
      <c r="D165" s="87" t="s">
        <v>508</v>
      </c>
      <c r="E165" s="76">
        <v>823500</v>
      </c>
      <c r="F165" s="82" t="s">
        <v>215</v>
      </c>
      <c r="G165" s="86" t="s">
        <v>400</v>
      </c>
      <c r="H165" s="83">
        <v>165000</v>
      </c>
      <c r="I165" s="84">
        <v>0</v>
      </c>
      <c r="J165" s="84">
        <v>0</v>
      </c>
      <c r="K165" s="83">
        <v>200000</v>
      </c>
      <c r="L165" s="83">
        <f t="shared" si="32"/>
        <v>121.21212121212122</v>
      </c>
      <c r="M165" s="83" t="e">
        <f t="shared" si="29"/>
        <v>#DIV/0!</v>
      </c>
      <c r="N165" s="85">
        <f>K165/K$390</f>
        <v>1.2507792354636938E-2</v>
      </c>
    </row>
    <row r="166" spans="1:14" ht="15" customHeight="1">
      <c r="A166" s="72"/>
      <c r="B166" s="72"/>
      <c r="C166" s="72"/>
      <c r="D166" s="87"/>
      <c r="E166" s="97">
        <v>990000</v>
      </c>
      <c r="F166" s="98"/>
      <c r="G166" s="99" t="s">
        <v>401</v>
      </c>
      <c r="H166" s="115">
        <f>SUM(H167)</f>
        <v>80000</v>
      </c>
      <c r="I166" s="115">
        <f t="shared" ref="I166:K166" si="37">SUM(I167)</f>
        <v>44549.53</v>
      </c>
      <c r="J166" s="115">
        <f t="shared" si="37"/>
        <v>60000</v>
      </c>
      <c r="K166" s="115">
        <f t="shared" si="37"/>
        <v>80000</v>
      </c>
      <c r="L166" s="83"/>
      <c r="M166" s="83">
        <f t="shared" si="29"/>
        <v>1.3333333333333333</v>
      </c>
      <c r="N166" s="85"/>
    </row>
    <row r="167" spans="1:14" ht="15" customHeight="1">
      <c r="A167" s="72" t="s">
        <v>171</v>
      </c>
      <c r="B167" s="72" t="s">
        <v>167</v>
      </c>
      <c r="C167" s="72" t="s">
        <v>169</v>
      </c>
      <c r="D167" s="87" t="s">
        <v>116</v>
      </c>
      <c r="E167" s="76">
        <v>999999</v>
      </c>
      <c r="F167" s="82" t="s">
        <v>215</v>
      </c>
      <c r="G167" s="86" t="s">
        <v>111</v>
      </c>
      <c r="H167" s="83">
        <v>80000</v>
      </c>
      <c r="I167" s="84">
        <v>44549.53</v>
      </c>
      <c r="J167" s="84">
        <v>60000</v>
      </c>
      <c r="K167" s="83">
        <v>80000</v>
      </c>
      <c r="L167" s="83">
        <f t="shared" ref="L167" si="38">K167/H167*100</f>
        <v>100</v>
      </c>
      <c r="M167" s="83">
        <f t="shared" si="29"/>
        <v>1.3333333333333333</v>
      </c>
      <c r="N167" s="85">
        <f>K167/K$390</f>
        <v>5.0031169418547758E-3</v>
      </c>
    </row>
    <row r="168" spans="1:14" ht="12">
      <c r="A168" s="65"/>
      <c r="B168" s="65"/>
      <c r="C168" s="65"/>
      <c r="D168" s="100"/>
      <c r="E168" s="74"/>
      <c r="F168" s="101"/>
      <c r="G168" s="79" t="s">
        <v>317</v>
      </c>
      <c r="H168" s="78">
        <f>SUM(H39:H146)+H147+H165+H167</f>
        <v>5889782</v>
      </c>
      <c r="I168" s="78">
        <f>SUM(I39:I147)+I164+I166</f>
        <v>2753732.3300000005</v>
      </c>
      <c r="J168" s="78">
        <f>SUM(J39:J147)+J164+J166</f>
        <v>4867817.51</v>
      </c>
      <c r="K168" s="78">
        <f>SUM(K39:K147)+K164+K166</f>
        <v>6353460</v>
      </c>
      <c r="L168" s="78">
        <f t="shared" si="3"/>
        <v>107.87258339952142</v>
      </c>
      <c r="M168" s="83">
        <f t="shared" si="29"/>
        <v>1.3051968334778434</v>
      </c>
      <c r="N168" s="89">
        <f>K168/K$390</f>
        <v>0.39733879206745804</v>
      </c>
    </row>
    <row r="169" spans="1:14" ht="12">
      <c r="A169" s="65"/>
      <c r="B169" s="65"/>
      <c r="C169" s="65"/>
      <c r="D169" s="87"/>
      <c r="E169" s="74"/>
      <c r="F169" s="88"/>
      <c r="G169" s="79" t="s">
        <v>525</v>
      </c>
      <c r="H169" s="74">
        <v>21</v>
      </c>
      <c r="I169" s="74">
        <v>20</v>
      </c>
      <c r="J169" s="74">
        <v>20</v>
      </c>
      <c r="K169" s="74">
        <v>21</v>
      </c>
      <c r="L169" s="78"/>
      <c r="M169" s="83"/>
      <c r="N169" s="89"/>
    </row>
    <row r="170" spans="1:14" ht="12">
      <c r="A170" s="117"/>
      <c r="B170" s="118"/>
      <c r="C170" s="118"/>
      <c r="D170" s="119"/>
      <c r="E170" s="120"/>
      <c r="F170" s="121"/>
      <c r="G170" s="120"/>
      <c r="H170" s="122"/>
      <c r="I170" s="122"/>
      <c r="J170" s="122"/>
      <c r="K170" s="122"/>
      <c r="L170" s="122"/>
      <c r="M170" s="326"/>
      <c r="N170" s="123"/>
    </row>
    <row r="171" spans="1:14" ht="25.5" customHeight="1">
      <c r="A171" s="71" t="s">
        <v>173</v>
      </c>
      <c r="B171" s="72" t="s">
        <v>167</v>
      </c>
      <c r="C171" s="65"/>
      <c r="D171" s="87"/>
      <c r="E171" s="74"/>
      <c r="F171" s="88"/>
      <c r="G171" s="75" t="s">
        <v>533</v>
      </c>
      <c r="H171" s="83"/>
      <c r="I171" s="84"/>
      <c r="J171" s="84"/>
      <c r="K171" s="83"/>
      <c r="L171" s="83"/>
      <c r="M171" s="83"/>
      <c r="N171" s="85"/>
    </row>
    <row r="172" spans="1:14" ht="12">
      <c r="A172" s="65"/>
      <c r="B172" s="65"/>
      <c r="C172" s="65"/>
      <c r="D172" s="87"/>
      <c r="E172" s="74">
        <v>610000</v>
      </c>
      <c r="F172" s="88"/>
      <c r="G172" s="79" t="s">
        <v>168</v>
      </c>
      <c r="H172" s="78"/>
      <c r="I172" s="90"/>
      <c r="J172" s="90"/>
      <c r="K172" s="78"/>
      <c r="L172" s="83"/>
      <c r="M172" s="83"/>
      <c r="N172" s="85"/>
    </row>
    <row r="173" spans="1:14" ht="16.5" customHeight="1">
      <c r="A173" s="72" t="s">
        <v>174</v>
      </c>
      <c r="B173" s="72" t="s">
        <v>167</v>
      </c>
      <c r="C173" s="72" t="s">
        <v>169</v>
      </c>
      <c r="D173" s="87" t="s">
        <v>118</v>
      </c>
      <c r="E173" s="76">
        <v>611110</v>
      </c>
      <c r="F173" s="82" t="s">
        <v>215</v>
      </c>
      <c r="G173" s="77" t="s">
        <v>172</v>
      </c>
      <c r="H173" s="83">
        <v>0</v>
      </c>
      <c r="I173" s="84">
        <v>0</v>
      </c>
      <c r="J173" s="84">
        <v>0</v>
      </c>
      <c r="K173" s="83">
        <v>302410</v>
      </c>
      <c r="L173" s="83" t="e">
        <f t="shared" ref="L173:L185" si="39">K173/H173*100</f>
        <v>#DIV/0!</v>
      </c>
      <c r="M173" s="83" t="e">
        <f t="shared" si="29"/>
        <v>#DIV/0!</v>
      </c>
      <c r="N173" s="85">
        <f t="shared" ref="N173:N204" si="40">K173/K$390</f>
        <v>1.8912407429828783E-2</v>
      </c>
    </row>
    <row r="174" spans="1:14" ht="16.5" customHeight="1">
      <c r="A174" s="72" t="s">
        <v>174</v>
      </c>
      <c r="B174" s="72" t="s">
        <v>167</v>
      </c>
      <c r="C174" s="72" t="s">
        <v>169</v>
      </c>
      <c r="D174" s="87" t="s">
        <v>118</v>
      </c>
      <c r="E174" s="76">
        <v>611111</v>
      </c>
      <c r="F174" s="82" t="s">
        <v>215</v>
      </c>
      <c r="G174" s="77" t="s">
        <v>307</v>
      </c>
      <c r="H174" s="83">
        <v>274300</v>
      </c>
      <c r="I174" s="84">
        <v>167208.13</v>
      </c>
      <c r="J174" s="84">
        <v>222374</v>
      </c>
      <c r="K174" s="83">
        <v>0</v>
      </c>
      <c r="L174" s="83">
        <f t="shared" si="39"/>
        <v>0</v>
      </c>
      <c r="M174" s="83">
        <f t="shared" si="29"/>
        <v>0</v>
      </c>
      <c r="N174" s="85">
        <f t="shared" si="40"/>
        <v>0</v>
      </c>
    </row>
    <row r="175" spans="1:14" ht="15" customHeight="1">
      <c r="A175" s="72" t="s">
        <v>174</v>
      </c>
      <c r="B175" s="72" t="s">
        <v>167</v>
      </c>
      <c r="C175" s="72" t="s">
        <v>169</v>
      </c>
      <c r="D175" s="87" t="s">
        <v>118</v>
      </c>
      <c r="E175" s="76">
        <v>611130</v>
      </c>
      <c r="F175" s="82" t="s">
        <v>215</v>
      </c>
      <c r="G175" s="77" t="s">
        <v>308</v>
      </c>
      <c r="H175" s="83">
        <v>0</v>
      </c>
      <c r="I175" s="84">
        <v>0</v>
      </c>
      <c r="J175" s="84">
        <v>0</v>
      </c>
      <c r="K175" s="83">
        <v>135870</v>
      </c>
      <c r="L175" s="83" t="e">
        <f t="shared" si="39"/>
        <v>#DIV/0!</v>
      </c>
      <c r="M175" s="83" t="e">
        <f t="shared" si="29"/>
        <v>#DIV/0!</v>
      </c>
      <c r="N175" s="85">
        <f t="shared" si="40"/>
        <v>8.497168736122605E-3</v>
      </c>
    </row>
    <row r="176" spans="1:14" ht="15" customHeight="1">
      <c r="A176" s="72" t="s">
        <v>174</v>
      </c>
      <c r="B176" s="72" t="s">
        <v>167</v>
      </c>
      <c r="C176" s="72" t="s">
        <v>169</v>
      </c>
      <c r="D176" s="87" t="s">
        <v>118</v>
      </c>
      <c r="E176" s="76">
        <v>611131</v>
      </c>
      <c r="F176" s="82" t="s">
        <v>215</v>
      </c>
      <c r="G176" s="77" t="s">
        <v>309</v>
      </c>
      <c r="H176" s="83">
        <v>123237</v>
      </c>
      <c r="I176" s="84">
        <v>75122.240000000005</v>
      </c>
      <c r="J176" s="84">
        <v>99913</v>
      </c>
      <c r="K176" s="83">
        <v>0</v>
      </c>
      <c r="L176" s="83">
        <f t="shared" si="39"/>
        <v>0</v>
      </c>
      <c r="M176" s="83">
        <f t="shared" si="29"/>
        <v>0</v>
      </c>
      <c r="N176" s="85">
        <f t="shared" si="40"/>
        <v>0</v>
      </c>
    </row>
    <row r="177" spans="1:14" ht="15" customHeight="1">
      <c r="A177" s="72" t="s">
        <v>174</v>
      </c>
      <c r="B177" s="72" t="s">
        <v>167</v>
      </c>
      <c r="C177" s="72" t="s">
        <v>169</v>
      </c>
      <c r="D177" s="87" t="s">
        <v>118</v>
      </c>
      <c r="E177" s="76">
        <v>611211</v>
      </c>
      <c r="F177" s="82" t="s">
        <v>215</v>
      </c>
      <c r="G177" s="77" t="s">
        <v>310</v>
      </c>
      <c r="H177" s="83">
        <v>12000</v>
      </c>
      <c r="I177" s="84">
        <v>7638.6</v>
      </c>
      <c r="J177" s="84">
        <v>10385</v>
      </c>
      <c r="K177" s="83">
        <v>14270</v>
      </c>
      <c r="L177" s="83">
        <f t="shared" si="39"/>
        <v>118.91666666666667</v>
      </c>
      <c r="M177" s="83">
        <f t="shared" si="29"/>
        <v>1.374097255657198</v>
      </c>
      <c r="N177" s="85">
        <f t="shared" si="40"/>
        <v>8.9243098450334554E-4</v>
      </c>
    </row>
    <row r="178" spans="1:14" ht="15" customHeight="1">
      <c r="A178" s="72" t="s">
        <v>174</v>
      </c>
      <c r="B178" s="72" t="s">
        <v>167</v>
      </c>
      <c r="C178" s="72" t="s">
        <v>169</v>
      </c>
      <c r="D178" s="87" t="s">
        <v>118</v>
      </c>
      <c r="E178" s="76">
        <v>611221</v>
      </c>
      <c r="F178" s="82" t="s">
        <v>215</v>
      </c>
      <c r="G178" s="77" t="s">
        <v>289</v>
      </c>
      <c r="H178" s="83">
        <v>44352</v>
      </c>
      <c r="I178" s="84">
        <v>21119.95</v>
      </c>
      <c r="J178" s="84">
        <v>28624</v>
      </c>
      <c r="K178" s="83">
        <v>51450</v>
      </c>
      <c r="L178" s="83">
        <f t="shared" si="39"/>
        <v>116.00378787878789</v>
      </c>
      <c r="M178" s="83">
        <f t="shared" si="29"/>
        <v>1.7974427054220234</v>
      </c>
      <c r="N178" s="85">
        <f t="shared" si="40"/>
        <v>3.2176295832303525E-3</v>
      </c>
    </row>
    <row r="179" spans="1:14" ht="13.5" customHeight="1">
      <c r="A179" s="72" t="s">
        <v>174</v>
      </c>
      <c r="B179" s="72" t="s">
        <v>167</v>
      </c>
      <c r="C179" s="72" t="s">
        <v>169</v>
      </c>
      <c r="D179" s="87" t="s">
        <v>118</v>
      </c>
      <c r="E179" s="76">
        <v>611224</v>
      </c>
      <c r="F179" s="82" t="s">
        <v>215</v>
      </c>
      <c r="G179" s="77" t="s">
        <v>75</v>
      </c>
      <c r="H179" s="83">
        <v>7800</v>
      </c>
      <c r="I179" s="84">
        <v>6600</v>
      </c>
      <c r="J179" s="84">
        <v>6600</v>
      </c>
      <c r="K179" s="83">
        <v>9750</v>
      </c>
      <c r="L179" s="83">
        <f t="shared" si="39"/>
        <v>125</v>
      </c>
      <c r="M179" s="83">
        <f t="shared" si="29"/>
        <v>1.4772727272727273</v>
      </c>
      <c r="N179" s="85">
        <f t="shared" si="40"/>
        <v>6.0975487728855073E-4</v>
      </c>
    </row>
    <row r="180" spans="1:14" ht="15" customHeight="1">
      <c r="A180" s="72" t="s">
        <v>174</v>
      </c>
      <c r="B180" s="72" t="s">
        <v>167</v>
      </c>
      <c r="C180" s="72" t="s">
        <v>169</v>
      </c>
      <c r="D180" s="87" t="s">
        <v>118</v>
      </c>
      <c r="E180" s="76">
        <v>611225</v>
      </c>
      <c r="F180" s="82" t="s">
        <v>215</v>
      </c>
      <c r="G180" s="77" t="s">
        <v>179</v>
      </c>
      <c r="H180" s="83">
        <v>23600</v>
      </c>
      <c r="I180" s="84">
        <v>11767.43</v>
      </c>
      <c r="J180" s="84">
        <v>11767.43</v>
      </c>
      <c r="K180" s="83">
        <v>11700</v>
      </c>
      <c r="L180" s="83">
        <f t="shared" si="39"/>
        <v>49.576271186440678</v>
      </c>
      <c r="M180" s="83">
        <f t="shared" si="29"/>
        <v>0.9942697768331743</v>
      </c>
      <c r="N180" s="85">
        <f t="shared" si="40"/>
        <v>7.3170585274626089E-4</v>
      </c>
    </row>
    <row r="181" spans="1:14" ht="15" customHeight="1">
      <c r="A181" s="72" t="s">
        <v>174</v>
      </c>
      <c r="B181" s="72" t="s">
        <v>167</v>
      </c>
      <c r="C181" s="72" t="s">
        <v>169</v>
      </c>
      <c r="D181" s="87" t="s">
        <v>118</v>
      </c>
      <c r="E181" s="76">
        <v>611227</v>
      </c>
      <c r="F181" s="82" t="s">
        <v>215</v>
      </c>
      <c r="G181" s="77" t="s">
        <v>291</v>
      </c>
      <c r="H181" s="83">
        <v>3400</v>
      </c>
      <c r="I181" s="84">
        <v>2530</v>
      </c>
      <c r="J181" s="84">
        <v>3400</v>
      </c>
      <c r="K181" s="83">
        <v>3400</v>
      </c>
      <c r="L181" s="83">
        <f t="shared" si="39"/>
        <v>100</v>
      </c>
      <c r="M181" s="83">
        <f t="shared" si="29"/>
        <v>1</v>
      </c>
      <c r="N181" s="85">
        <f t="shared" si="40"/>
        <v>2.1263247002882796E-4</v>
      </c>
    </row>
    <row r="182" spans="1:14" ht="15" customHeight="1">
      <c r="A182" s="72" t="s">
        <v>174</v>
      </c>
      <c r="B182" s="72" t="s">
        <v>167</v>
      </c>
      <c r="C182" s="72" t="s">
        <v>169</v>
      </c>
      <c r="D182" s="87" t="s">
        <v>118</v>
      </c>
      <c r="E182" s="76">
        <v>611228</v>
      </c>
      <c r="F182" s="82" t="s">
        <v>215</v>
      </c>
      <c r="G182" s="77" t="s">
        <v>402</v>
      </c>
      <c r="H182" s="83">
        <v>1700</v>
      </c>
      <c r="I182" s="84">
        <v>0</v>
      </c>
      <c r="J182" s="84">
        <v>1700</v>
      </c>
      <c r="K182" s="83">
        <v>1700</v>
      </c>
      <c r="L182" s="83">
        <f t="shared" ref="L182" si="41">K182/H182*100</f>
        <v>100</v>
      </c>
      <c r="M182" s="83">
        <f t="shared" si="29"/>
        <v>1</v>
      </c>
      <c r="N182" s="85">
        <f t="shared" si="40"/>
        <v>1.0631623501441398E-4</v>
      </c>
    </row>
    <row r="183" spans="1:14" ht="14.25" customHeight="1">
      <c r="A183" s="72" t="s">
        <v>174</v>
      </c>
      <c r="B183" s="72" t="s">
        <v>167</v>
      </c>
      <c r="C183" s="72" t="s">
        <v>169</v>
      </c>
      <c r="D183" s="87" t="s">
        <v>118</v>
      </c>
      <c r="E183" s="76">
        <v>612110</v>
      </c>
      <c r="F183" s="82" t="s">
        <v>215</v>
      </c>
      <c r="G183" s="77" t="s">
        <v>292</v>
      </c>
      <c r="H183" s="83">
        <v>0</v>
      </c>
      <c r="I183" s="84">
        <v>0</v>
      </c>
      <c r="J183" s="84">
        <v>0</v>
      </c>
      <c r="K183" s="83">
        <v>46020</v>
      </c>
      <c r="L183" s="83" t="e">
        <f t="shared" si="39"/>
        <v>#DIV/0!</v>
      </c>
      <c r="M183" s="83" t="e">
        <f t="shared" si="29"/>
        <v>#DIV/0!</v>
      </c>
      <c r="N183" s="85">
        <f t="shared" si="40"/>
        <v>2.8780430208019598E-3</v>
      </c>
    </row>
    <row r="184" spans="1:14" ht="12.75" customHeight="1">
      <c r="A184" s="72" t="s">
        <v>174</v>
      </c>
      <c r="B184" s="72" t="s">
        <v>167</v>
      </c>
      <c r="C184" s="72" t="s">
        <v>169</v>
      </c>
      <c r="D184" s="87" t="s">
        <v>118</v>
      </c>
      <c r="E184" s="76">
        <v>612211</v>
      </c>
      <c r="F184" s="82" t="s">
        <v>215</v>
      </c>
      <c r="G184" s="86" t="s">
        <v>77</v>
      </c>
      <c r="H184" s="83">
        <v>45300</v>
      </c>
      <c r="I184" s="84">
        <v>27491.41</v>
      </c>
      <c r="J184" s="84">
        <v>33840</v>
      </c>
      <c r="K184" s="83">
        <v>0</v>
      </c>
      <c r="L184" s="83">
        <f t="shared" si="39"/>
        <v>0</v>
      </c>
      <c r="M184" s="83">
        <f t="shared" si="29"/>
        <v>0</v>
      </c>
      <c r="N184" s="85">
        <f t="shared" si="40"/>
        <v>0</v>
      </c>
    </row>
    <row r="185" spans="1:14" ht="14.25" customHeight="1">
      <c r="A185" s="72" t="s">
        <v>174</v>
      </c>
      <c r="B185" s="72" t="s">
        <v>167</v>
      </c>
      <c r="C185" s="72" t="s">
        <v>169</v>
      </c>
      <c r="D185" s="87" t="s">
        <v>118</v>
      </c>
      <c r="E185" s="76">
        <v>613115</v>
      </c>
      <c r="F185" s="82" t="s">
        <v>215</v>
      </c>
      <c r="G185" s="77" t="s">
        <v>297</v>
      </c>
      <c r="H185" s="83">
        <v>500</v>
      </c>
      <c r="I185" s="84">
        <v>232.4</v>
      </c>
      <c r="J185" s="84">
        <v>500</v>
      </c>
      <c r="K185" s="83">
        <v>500</v>
      </c>
      <c r="L185" s="83">
        <f t="shared" si="39"/>
        <v>100</v>
      </c>
      <c r="M185" s="83">
        <f t="shared" si="29"/>
        <v>1</v>
      </c>
      <c r="N185" s="85">
        <f t="shared" si="40"/>
        <v>3.1269480886592348E-5</v>
      </c>
    </row>
    <row r="186" spans="1:14" ht="15" customHeight="1">
      <c r="A186" s="72" t="s">
        <v>174</v>
      </c>
      <c r="B186" s="72" t="s">
        <v>167</v>
      </c>
      <c r="C186" s="72" t="s">
        <v>169</v>
      </c>
      <c r="D186" s="87" t="s">
        <v>118</v>
      </c>
      <c r="E186" s="81">
        <v>613211</v>
      </c>
      <c r="F186" s="82" t="s">
        <v>215</v>
      </c>
      <c r="G186" s="77" t="s">
        <v>81</v>
      </c>
      <c r="H186" s="83">
        <v>17000</v>
      </c>
      <c r="I186" s="84">
        <v>11552.76</v>
      </c>
      <c r="J186" s="84">
        <v>17000</v>
      </c>
      <c r="K186" s="83">
        <v>17000</v>
      </c>
      <c r="L186" s="83">
        <f t="shared" ref="L186" si="42">K186/H186*100</f>
        <v>100</v>
      </c>
      <c r="M186" s="83">
        <f t="shared" si="29"/>
        <v>1</v>
      </c>
      <c r="N186" s="85">
        <f t="shared" si="40"/>
        <v>1.0631623501441399E-3</v>
      </c>
    </row>
    <row r="187" spans="1:14" ht="15" customHeight="1">
      <c r="A187" s="72" t="s">
        <v>174</v>
      </c>
      <c r="B187" s="72" t="s">
        <v>167</v>
      </c>
      <c r="C187" s="72" t="s">
        <v>169</v>
      </c>
      <c r="D187" s="87" t="s">
        <v>118</v>
      </c>
      <c r="E187" s="81">
        <v>613212</v>
      </c>
      <c r="F187" s="82" t="s">
        <v>215</v>
      </c>
      <c r="G187" s="77" t="s">
        <v>82</v>
      </c>
      <c r="H187" s="83">
        <v>33200</v>
      </c>
      <c r="I187" s="84">
        <v>23420.02</v>
      </c>
      <c r="J187" s="84">
        <v>33200</v>
      </c>
      <c r="K187" s="83">
        <v>33200</v>
      </c>
      <c r="L187" s="83">
        <f t="shared" ref="L187:L190" si="43">K187/H187*100</f>
        <v>100</v>
      </c>
      <c r="M187" s="83">
        <f t="shared" si="29"/>
        <v>1</v>
      </c>
      <c r="N187" s="85">
        <f t="shared" si="40"/>
        <v>2.0762935308697317E-3</v>
      </c>
    </row>
    <row r="188" spans="1:14" ht="15" customHeight="1">
      <c r="A188" s="72" t="s">
        <v>174</v>
      </c>
      <c r="B188" s="72" t="s">
        <v>167</v>
      </c>
      <c r="C188" s="72" t="s">
        <v>169</v>
      </c>
      <c r="D188" s="87" t="s">
        <v>118</v>
      </c>
      <c r="E188" s="81">
        <v>613311</v>
      </c>
      <c r="F188" s="82" t="s">
        <v>215</v>
      </c>
      <c r="G188" s="77" t="s">
        <v>311</v>
      </c>
      <c r="H188" s="83">
        <v>21000</v>
      </c>
      <c r="I188" s="84">
        <v>14499.58</v>
      </c>
      <c r="J188" s="84">
        <v>21000</v>
      </c>
      <c r="K188" s="83">
        <v>26000</v>
      </c>
      <c r="L188" s="83">
        <f t="shared" si="43"/>
        <v>123.80952380952381</v>
      </c>
      <c r="M188" s="83">
        <f t="shared" si="29"/>
        <v>1.2380952380952381</v>
      </c>
      <c r="N188" s="85">
        <f t="shared" si="40"/>
        <v>1.626013006102802E-3</v>
      </c>
    </row>
    <row r="189" spans="1:14" ht="15" customHeight="1">
      <c r="A189" s="72" t="s">
        <v>174</v>
      </c>
      <c r="B189" s="72" t="s">
        <v>167</v>
      </c>
      <c r="C189" s="72" t="s">
        <v>169</v>
      </c>
      <c r="D189" s="87" t="s">
        <v>118</v>
      </c>
      <c r="E189" s="81">
        <v>613312</v>
      </c>
      <c r="F189" s="82" t="s">
        <v>215</v>
      </c>
      <c r="G189" s="77" t="s">
        <v>403</v>
      </c>
      <c r="H189" s="83">
        <v>9800</v>
      </c>
      <c r="I189" s="84">
        <v>7830.82</v>
      </c>
      <c r="J189" s="84">
        <v>9800</v>
      </c>
      <c r="K189" s="83">
        <v>10000</v>
      </c>
      <c r="L189" s="83">
        <f t="shared" si="43"/>
        <v>102.04081632653062</v>
      </c>
      <c r="M189" s="83">
        <f t="shared" si="29"/>
        <v>1.0204081632653061</v>
      </c>
      <c r="N189" s="85">
        <f t="shared" si="40"/>
        <v>6.2538961773184697E-4</v>
      </c>
    </row>
    <row r="190" spans="1:14" ht="15" customHeight="1">
      <c r="A190" s="72" t="s">
        <v>174</v>
      </c>
      <c r="B190" s="72" t="s">
        <v>167</v>
      </c>
      <c r="C190" s="72" t="s">
        <v>169</v>
      </c>
      <c r="D190" s="87" t="s">
        <v>118</v>
      </c>
      <c r="E190" s="81">
        <v>613321</v>
      </c>
      <c r="F190" s="82" t="s">
        <v>215</v>
      </c>
      <c r="G190" s="77" t="s">
        <v>84</v>
      </c>
      <c r="H190" s="83">
        <v>6000</v>
      </c>
      <c r="I190" s="84">
        <v>2584.58</v>
      </c>
      <c r="J190" s="84">
        <v>6000</v>
      </c>
      <c r="K190" s="83">
        <v>6000</v>
      </c>
      <c r="L190" s="83">
        <f t="shared" si="43"/>
        <v>100</v>
      </c>
      <c r="M190" s="83">
        <f t="shared" si="29"/>
        <v>1</v>
      </c>
      <c r="N190" s="85">
        <f t="shared" si="40"/>
        <v>3.7523377063910818E-4</v>
      </c>
    </row>
    <row r="191" spans="1:14" ht="15" customHeight="1">
      <c r="A191" s="72" t="s">
        <v>174</v>
      </c>
      <c r="B191" s="72" t="s">
        <v>167</v>
      </c>
      <c r="C191" s="72" t="s">
        <v>169</v>
      </c>
      <c r="D191" s="87" t="s">
        <v>118</v>
      </c>
      <c r="E191" s="81">
        <v>613323</v>
      </c>
      <c r="F191" s="82" t="s">
        <v>215</v>
      </c>
      <c r="G191" s="77" t="s">
        <v>404</v>
      </c>
      <c r="H191" s="83">
        <v>3000</v>
      </c>
      <c r="I191" s="84">
        <v>2983.5</v>
      </c>
      <c r="J191" s="84">
        <v>4000</v>
      </c>
      <c r="K191" s="83">
        <v>4000</v>
      </c>
      <c r="L191" s="83">
        <f t="shared" ref="L191" si="44">K191/H191*100</f>
        <v>133.33333333333331</v>
      </c>
      <c r="M191" s="83">
        <f t="shared" si="29"/>
        <v>1</v>
      </c>
      <c r="N191" s="85">
        <f t="shared" si="40"/>
        <v>2.5015584709273879E-4</v>
      </c>
    </row>
    <row r="192" spans="1:14" ht="13.5" customHeight="1">
      <c r="A192" s="72" t="s">
        <v>174</v>
      </c>
      <c r="B192" s="72" t="s">
        <v>167</v>
      </c>
      <c r="C192" s="72" t="s">
        <v>169</v>
      </c>
      <c r="D192" s="87" t="s">
        <v>118</v>
      </c>
      <c r="E192" s="81">
        <v>613417</v>
      </c>
      <c r="F192" s="82" t="s">
        <v>215</v>
      </c>
      <c r="G192" s="77" t="s">
        <v>86</v>
      </c>
      <c r="H192" s="83">
        <v>5000</v>
      </c>
      <c r="I192" s="84">
        <v>3021.48</v>
      </c>
      <c r="J192" s="84">
        <v>5000</v>
      </c>
      <c r="K192" s="83">
        <v>5000</v>
      </c>
      <c r="L192" s="83">
        <f t="shared" si="3"/>
        <v>100</v>
      </c>
      <c r="M192" s="83">
        <f t="shared" si="29"/>
        <v>1</v>
      </c>
      <c r="N192" s="85">
        <f t="shared" si="40"/>
        <v>3.1269480886592348E-4</v>
      </c>
    </row>
    <row r="193" spans="1:14" ht="14.25" customHeight="1">
      <c r="A193" s="72" t="s">
        <v>174</v>
      </c>
      <c r="B193" s="72" t="s">
        <v>167</v>
      </c>
      <c r="C193" s="72" t="s">
        <v>169</v>
      </c>
      <c r="D193" s="87" t="s">
        <v>118</v>
      </c>
      <c r="E193" s="81">
        <v>613491</v>
      </c>
      <c r="F193" s="82" t="s">
        <v>215</v>
      </c>
      <c r="G193" s="77" t="s">
        <v>405</v>
      </c>
      <c r="H193" s="83">
        <v>10000</v>
      </c>
      <c r="I193" s="84">
        <v>109.04</v>
      </c>
      <c r="J193" s="84">
        <v>10000</v>
      </c>
      <c r="K193" s="83">
        <v>10000</v>
      </c>
      <c r="L193" s="83">
        <f t="shared" si="3"/>
        <v>100</v>
      </c>
      <c r="M193" s="83">
        <f t="shared" si="29"/>
        <v>1</v>
      </c>
      <c r="N193" s="85">
        <f t="shared" si="40"/>
        <v>6.2538961773184697E-4</v>
      </c>
    </row>
    <row r="194" spans="1:14" ht="14.25" customHeight="1">
      <c r="A194" s="72" t="s">
        <v>174</v>
      </c>
      <c r="B194" s="72" t="s">
        <v>167</v>
      </c>
      <c r="C194" s="72" t="s">
        <v>169</v>
      </c>
      <c r="D194" s="87" t="s">
        <v>118</v>
      </c>
      <c r="E194" s="81">
        <v>613510</v>
      </c>
      <c r="F194" s="82" t="s">
        <v>215</v>
      </c>
      <c r="G194" s="77" t="s">
        <v>406</v>
      </c>
      <c r="H194" s="83">
        <v>18000</v>
      </c>
      <c r="I194" s="84">
        <v>9556.2800000000007</v>
      </c>
      <c r="J194" s="84">
        <v>18000</v>
      </c>
      <c r="K194" s="83">
        <v>18000</v>
      </c>
      <c r="L194" s="83">
        <f t="shared" si="3"/>
        <v>100</v>
      </c>
      <c r="M194" s="83">
        <f t="shared" si="29"/>
        <v>1</v>
      </c>
      <c r="N194" s="85">
        <f t="shared" si="40"/>
        <v>1.1257013119173244E-3</v>
      </c>
    </row>
    <row r="195" spans="1:14" ht="15" customHeight="1">
      <c r="A195" s="72" t="s">
        <v>174</v>
      </c>
      <c r="B195" s="72" t="s">
        <v>167</v>
      </c>
      <c r="C195" s="72" t="s">
        <v>169</v>
      </c>
      <c r="D195" s="87" t="s">
        <v>118</v>
      </c>
      <c r="E195" s="81">
        <v>613523</v>
      </c>
      <c r="F195" s="82" t="s">
        <v>215</v>
      </c>
      <c r="G195" s="77" t="s">
        <v>89</v>
      </c>
      <c r="H195" s="83">
        <v>6000</v>
      </c>
      <c r="I195" s="84">
        <v>1320.97</v>
      </c>
      <c r="J195" s="84">
        <v>6000</v>
      </c>
      <c r="K195" s="83">
        <v>6000</v>
      </c>
      <c r="L195" s="83">
        <f t="shared" si="3"/>
        <v>100</v>
      </c>
      <c r="M195" s="83">
        <f t="shared" si="29"/>
        <v>1</v>
      </c>
      <c r="N195" s="85">
        <f t="shared" si="40"/>
        <v>3.7523377063910818E-4</v>
      </c>
    </row>
    <row r="196" spans="1:14" ht="15.75" customHeight="1">
      <c r="A196" s="72" t="s">
        <v>174</v>
      </c>
      <c r="B196" s="72" t="s">
        <v>167</v>
      </c>
      <c r="C196" s="72" t="s">
        <v>169</v>
      </c>
      <c r="D196" s="87" t="s">
        <v>118</v>
      </c>
      <c r="E196" s="81">
        <v>613621</v>
      </c>
      <c r="F196" s="82" t="s">
        <v>215</v>
      </c>
      <c r="G196" s="77" t="s">
        <v>407</v>
      </c>
      <c r="H196" s="83">
        <v>9000</v>
      </c>
      <c r="I196" s="84">
        <v>4885.92</v>
      </c>
      <c r="J196" s="84">
        <v>9000</v>
      </c>
      <c r="K196" s="83">
        <v>9000</v>
      </c>
      <c r="L196" s="83">
        <f t="shared" si="3"/>
        <v>100</v>
      </c>
      <c r="M196" s="83">
        <f t="shared" si="29"/>
        <v>1</v>
      </c>
      <c r="N196" s="85">
        <f t="shared" si="40"/>
        <v>5.6285065595866222E-4</v>
      </c>
    </row>
    <row r="197" spans="1:14" ht="16.5" customHeight="1">
      <c r="A197" s="72" t="s">
        <v>174</v>
      </c>
      <c r="B197" s="72" t="s">
        <v>167</v>
      </c>
      <c r="C197" s="72" t="s">
        <v>169</v>
      </c>
      <c r="D197" s="87" t="s">
        <v>118</v>
      </c>
      <c r="E197" s="81">
        <v>613711</v>
      </c>
      <c r="F197" s="82" t="s">
        <v>215</v>
      </c>
      <c r="G197" s="77" t="s">
        <v>408</v>
      </c>
      <c r="H197" s="83">
        <v>3500</v>
      </c>
      <c r="I197" s="84">
        <v>2110.4899999999998</v>
      </c>
      <c r="J197" s="84">
        <v>3500</v>
      </c>
      <c r="K197" s="83">
        <v>3500</v>
      </c>
      <c r="L197" s="83">
        <f t="shared" si="3"/>
        <v>100</v>
      </c>
      <c r="M197" s="83">
        <f t="shared" ref="M197:M260" si="45">K197/J197</f>
        <v>1</v>
      </c>
      <c r="N197" s="85">
        <f t="shared" si="40"/>
        <v>2.1888636620614644E-4</v>
      </c>
    </row>
    <row r="198" spans="1:14" ht="16.5" customHeight="1">
      <c r="A198" s="72" t="s">
        <v>174</v>
      </c>
      <c r="B198" s="72" t="s">
        <v>167</v>
      </c>
      <c r="C198" s="72" t="s">
        <v>169</v>
      </c>
      <c r="D198" s="87" t="s">
        <v>118</v>
      </c>
      <c r="E198" s="81">
        <v>613721</v>
      </c>
      <c r="F198" s="82" t="s">
        <v>215</v>
      </c>
      <c r="G198" s="77" t="s">
        <v>409</v>
      </c>
      <c r="H198" s="83">
        <v>60000</v>
      </c>
      <c r="I198" s="84">
        <v>8699.49</v>
      </c>
      <c r="J198" s="84">
        <v>45000</v>
      </c>
      <c r="K198" s="83">
        <v>50000</v>
      </c>
      <c r="L198" s="83">
        <f t="shared" si="3"/>
        <v>83.333333333333343</v>
      </c>
      <c r="M198" s="83">
        <f t="shared" si="45"/>
        <v>1.1111111111111112</v>
      </c>
      <c r="N198" s="85">
        <f t="shared" si="40"/>
        <v>3.1269480886592345E-3</v>
      </c>
    </row>
    <row r="199" spans="1:14" ht="14.25" customHeight="1">
      <c r="A199" s="72" t="s">
        <v>174</v>
      </c>
      <c r="B199" s="72" t="s">
        <v>167</v>
      </c>
      <c r="C199" s="72" t="s">
        <v>169</v>
      </c>
      <c r="D199" s="87" t="s">
        <v>118</v>
      </c>
      <c r="E199" s="81">
        <v>613721</v>
      </c>
      <c r="F199" s="82" t="s">
        <v>215</v>
      </c>
      <c r="G199" s="77" t="s">
        <v>410</v>
      </c>
      <c r="H199" s="83">
        <v>9000</v>
      </c>
      <c r="I199" s="84">
        <v>6212.7</v>
      </c>
      <c r="J199" s="84">
        <v>9000</v>
      </c>
      <c r="K199" s="83">
        <v>10800</v>
      </c>
      <c r="L199" s="83">
        <f t="shared" si="3"/>
        <v>120</v>
      </c>
      <c r="M199" s="83">
        <f t="shared" si="45"/>
        <v>1.2</v>
      </c>
      <c r="N199" s="85">
        <f t="shared" si="40"/>
        <v>6.7542078715039471E-4</v>
      </c>
    </row>
    <row r="200" spans="1:14" ht="15" customHeight="1">
      <c r="A200" s="72" t="s">
        <v>174</v>
      </c>
      <c r="B200" s="72" t="s">
        <v>167</v>
      </c>
      <c r="C200" s="72" t="s">
        <v>169</v>
      </c>
      <c r="D200" s="87" t="s">
        <v>118</v>
      </c>
      <c r="E200" s="81">
        <v>613721</v>
      </c>
      <c r="F200" s="82" t="s">
        <v>215</v>
      </c>
      <c r="G200" s="77" t="s">
        <v>411</v>
      </c>
      <c r="H200" s="83">
        <v>6000</v>
      </c>
      <c r="I200" s="84">
        <v>0</v>
      </c>
      <c r="J200" s="84">
        <v>6000</v>
      </c>
      <c r="K200" s="83">
        <v>6000</v>
      </c>
      <c r="L200" s="83">
        <f t="shared" si="3"/>
        <v>100</v>
      </c>
      <c r="M200" s="83">
        <f t="shared" si="45"/>
        <v>1</v>
      </c>
      <c r="N200" s="85">
        <f t="shared" si="40"/>
        <v>3.7523377063910818E-4</v>
      </c>
    </row>
    <row r="201" spans="1:14" ht="14.25" customHeight="1">
      <c r="A201" s="72" t="s">
        <v>174</v>
      </c>
      <c r="B201" s="72" t="s">
        <v>167</v>
      </c>
      <c r="C201" s="72" t="s">
        <v>169</v>
      </c>
      <c r="D201" s="87" t="s">
        <v>118</v>
      </c>
      <c r="E201" s="81">
        <v>613721</v>
      </c>
      <c r="F201" s="82" t="s">
        <v>215</v>
      </c>
      <c r="G201" s="77" t="s">
        <v>412</v>
      </c>
      <c r="H201" s="83">
        <v>3000</v>
      </c>
      <c r="I201" s="84">
        <v>0</v>
      </c>
      <c r="J201" s="84">
        <v>0</v>
      </c>
      <c r="K201" s="83">
        <v>3000</v>
      </c>
      <c r="L201" s="83">
        <f t="shared" ref="L201:L212" si="46">K201/H201*100</f>
        <v>100</v>
      </c>
      <c r="M201" s="83" t="e">
        <f t="shared" si="45"/>
        <v>#DIV/0!</v>
      </c>
      <c r="N201" s="85">
        <f t="shared" si="40"/>
        <v>1.8761688531955409E-4</v>
      </c>
    </row>
    <row r="202" spans="1:14" ht="14.25" customHeight="1">
      <c r="A202" s="72" t="s">
        <v>174</v>
      </c>
      <c r="B202" s="72" t="s">
        <v>167</v>
      </c>
      <c r="C202" s="72" t="s">
        <v>169</v>
      </c>
      <c r="D202" s="87" t="s">
        <v>118</v>
      </c>
      <c r="E202" s="81">
        <v>613721</v>
      </c>
      <c r="F202" s="82" t="s">
        <v>215</v>
      </c>
      <c r="G202" s="77" t="s">
        <v>535</v>
      </c>
      <c r="H202" s="83">
        <v>10000</v>
      </c>
      <c r="I202" s="84">
        <v>0</v>
      </c>
      <c r="J202" s="84">
        <v>10000</v>
      </c>
      <c r="K202" s="83">
        <v>0</v>
      </c>
      <c r="L202" s="83">
        <f t="shared" si="46"/>
        <v>0</v>
      </c>
      <c r="M202" s="83">
        <f t="shared" si="45"/>
        <v>0</v>
      </c>
      <c r="N202" s="85">
        <f t="shared" si="40"/>
        <v>0</v>
      </c>
    </row>
    <row r="203" spans="1:14" ht="24" customHeight="1">
      <c r="A203" s="72" t="s">
        <v>174</v>
      </c>
      <c r="B203" s="72" t="s">
        <v>167</v>
      </c>
      <c r="C203" s="72" t="s">
        <v>169</v>
      </c>
      <c r="D203" s="87" t="s">
        <v>118</v>
      </c>
      <c r="E203" s="81">
        <v>613721</v>
      </c>
      <c r="F203" s="82" t="s">
        <v>215</v>
      </c>
      <c r="G203" s="86" t="s">
        <v>577</v>
      </c>
      <c r="H203" s="83">
        <v>0</v>
      </c>
      <c r="I203" s="84">
        <v>0</v>
      </c>
      <c r="J203" s="84">
        <v>0</v>
      </c>
      <c r="K203" s="333">
        <v>40000</v>
      </c>
      <c r="L203" s="83" t="e">
        <f t="shared" si="46"/>
        <v>#DIV/0!</v>
      </c>
      <c r="M203" s="83" t="e">
        <f t="shared" si="45"/>
        <v>#DIV/0!</v>
      </c>
      <c r="N203" s="85">
        <f t="shared" si="40"/>
        <v>2.5015584709273879E-3</v>
      </c>
    </row>
    <row r="204" spans="1:14" ht="14.25" customHeight="1">
      <c r="A204" s="72" t="s">
        <v>174</v>
      </c>
      <c r="B204" s="72" t="s">
        <v>167</v>
      </c>
      <c r="C204" s="72" t="s">
        <v>169</v>
      </c>
      <c r="D204" s="87" t="s">
        <v>118</v>
      </c>
      <c r="E204" s="81">
        <v>613723</v>
      </c>
      <c r="F204" s="82" t="s">
        <v>215</v>
      </c>
      <c r="G204" s="77" t="s">
        <v>413</v>
      </c>
      <c r="H204" s="83">
        <v>25000</v>
      </c>
      <c r="I204" s="84">
        <v>6669</v>
      </c>
      <c r="J204" s="84">
        <v>15000</v>
      </c>
      <c r="K204" s="83">
        <v>15000</v>
      </c>
      <c r="L204" s="83">
        <f t="shared" si="46"/>
        <v>60</v>
      </c>
      <c r="M204" s="83">
        <f t="shared" si="45"/>
        <v>1</v>
      </c>
      <c r="N204" s="85">
        <f t="shared" si="40"/>
        <v>9.380844265977704E-4</v>
      </c>
    </row>
    <row r="205" spans="1:14" ht="15" customHeight="1">
      <c r="A205" s="72" t="s">
        <v>174</v>
      </c>
      <c r="B205" s="72" t="s">
        <v>167</v>
      </c>
      <c r="C205" s="72" t="s">
        <v>169</v>
      </c>
      <c r="D205" s="87" t="s">
        <v>134</v>
      </c>
      <c r="E205" s="81">
        <v>613724</v>
      </c>
      <c r="F205" s="82" t="s">
        <v>215</v>
      </c>
      <c r="G205" s="77" t="s">
        <v>414</v>
      </c>
      <c r="H205" s="83">
        <v>313000</v>
      </c>
      <c r="I205" s="84">
        <v>570.33000000000004</v>
      </c>
      <c r="J205" s="334">
        <v>313000</v>
      </c>
      <c r="K205" s="83">
        <v>0</v>
      </c>
      <c r="L205" s="83">
        <f t="shared" si="46"/>
        <v>0</v>
      </c>
      <c r="M205" s="83">
        <f t="shared" si="45"/>
        <v>0</v>
      </c>
      <c r="N205" s="85">
        <f t="shared" ref="N205:N223" si="47">K205/K$390</f>
        <v>0</v>
      </c>
    </row>
    <row r="206" spans="1:14" ht="15" customHeight="1">
      <c r="A206" s="72" t="s">
        <v>174</v>
      </c>
      <c r="B206" s="72" t="s">
        <v>167</v>
      </c>
      <c r="C206" s="72" t="s">
        <v>169</v>
      </c>
      <c r="D206" s="342" t="s">
        <v>134</v>
      </c>
      <c r="E206" s="343">
        <v>613724</v>
      </c>
      <c r="F206" s="82" t="s">
        <v>215</v>
      </c>
      <c r="G206" s="144" t="s">
        <v>544</v>
      </c>
      <c r="H206" s="146">
        <v>0</v>
      </c>
      <c r="I206" s="332">
        <v>0</v>
      </c>
      <c r="J206" s="332">
        <v>0</v>
      </c>
      <c r="K206" s="341">
        <v>175561</v>
      </c>
      <c r="L206" s="83" t="e">
        <f t="shared" si="46"/>
        <v>#DIV/0!</v>
      </c>
      <c r="M206" s="83" t="e">
        <f t="shared" si="45"/>
        <v>#DIV/0!</v>
      </c>
      <c r="N206" s="85">
        <f t="shared" si="47"/>
        <v>1.0979402667862077E-2</v>
      </c>
    </row>
    <row r="207" spans="1:14" ht="15" customHeight="1">
      <c r="A207" s="72" t="s">
        <v>174</v>
      </c>
      <c r="B207" s="72" t="s">
        <v>167</v>
      </c>
      <c r="C207" s="72" t="s">
        <v>169</v>
      </c>
      <c r="D207" s="342" t="s">
        <v>134</v>
      </c>
      <c r="E207" s="343">
        <v>623724</v>
      </c>
      <c r="F207" s="82" t="s">
        <v>215</v>
      </c>
      <c r="G207" s="144" t="s">
        <v>545</v>
      </c>
      <c r="H207" s="146">
        <v>0</v>
      </c>
      <c r="I207" s="332">
        <v>0</v>
      </c>
      <c r="J207" s="332">
        <v>0</v>
      </c>
      <c r="K207" s="146">
        <v>185000</v>
      </c>
      <c r="L207" s="83" t="e">
        <f t="shared" si="46"/>
        <v>#DIV/0!</v>
      </c>
      <c r="M207" s="83" t="e">
        <f t="shared" si="45"/>
        <v>#DIV/0!</v>
      </c>
      <c r="N207" s="85">
        <f t="shared" si="47"/>
        <v>1.1569707928039168E-2</v>
      </c>
    </row>
    <row r="208" spans="1:14" ht="15.75" customHeight="1">
      <c r="A208" s="72" t="s">
        <v>174</v>
      </c>
      <c r="B208" s="72" t="s">
        <v>167</v>
      </c>
      <c r="C208" s="72" t="s">
        <v>169</v>
      </c>
      <c r="D208" s="87" t="s">
        <v>118</v>
      </c>
      <c r="E208" s="81">
        <v>613813</v>
      </c>
      <c r="F208" s="82" t="s">
        <v>215</v>
      </c>
      <c r="G208" s="77" t="s">
        <v>93</v>
      </c>
      <c r="H208" s="83">
        <v>3000</v>
      </c>
      <c r="I208" s="84">
        <v>417.74</v>
      </c>
      <c r="J208" s="84">
        <v>3000</v>
      </c>
      <c r="K208" s="83">
        <v>3000</v>
      </c>
      <c r="L208" s="83">
        <f t="shared" si="46"/>
        <v>100</v>
      </c>
      <c r="M208" s="83">
        <f t="shared" si="45"/>
        <v>1</v>
      </c>
      <c r="N208" s="85">
        <f t="shared" si="47"/>
        <v>1.8761688531955409E-4</v>
      </c>
    </row>
    <row r="209" spans="1:14" ht="16.5" customHeight="1">
      <c r="A209" s="72" t="s">
        <v>174</v>
      </c>
      <c r="B209" s="72" t="s">
        <v>167</v>
      </c>
      <c r="C209" s="72" t="s">
        <v>169</v>
      </c>
      <c r="D209" s="87" t="s">
        <v>118</v>
      </c>
      <c r="E209" s="81">
        <v>613814</v>
      </c>
      <c r="F209" s="82" t="s">
        <v>215</v>
      </c>
      <c r="G209" s="77" t="s">
        <v>299</v>
      </c>
      <c r="H209" s="83">
        <v>720</v>
      </c>
      <c r="I209" s="84">
        <v>771.8</v>
      </c>
      <c r="J209" s="84">
        <v>771.8</v>
      </c>
      <c r="K209" s="83">
        <v>720</v>
      </c>
      <c r="L209" s="83">
        <f t="shared" si="46"/>
        <v>100</v>
      </c>
      <c r="M209" s="83">
        <f t="shared" si="45"/>
        <v>0.93288416688261211</v>
      </c>
      <c r="N209" s="85">
        <f t="shared" si="47"/>
        <v>4.5028052476692977E-5</v>
      </c>
    </row>
    <row r="210" spans="1:14" ht="16.5" customHeight="1">
      <c r="A210" s="72" t="s">
        <v>174</v>
      </c>
      <c r="B210" s="72" t="s">
        <v>167</v>
      </c>
      <c r="C210" s="72" t="s">
        <v>169</v>
      </c>
      <c r="D210" s="87" t="s">
        <v>118</v>
      </c>
      <c r="E210" s="81">
        <v>613821</v>
      </c>
      <c r="F210" s="82" t="s">
        <v>215</v>
      </c>
      <c r="G210" s="77" t="s">
        <v>415</v>
      </c>
      <c r="H210" s="83">
        <v>20000</v>
      </c>
      <c r="I210" s="84">
        <v>7914.51</v>
      </c>
      <c r="J210" s="84">
        <v>15000</v>
      </c>
      <c r="K210" s="83">
        <v>20000</v>
      </c>
      <c r="L210" s="83">
        <f t="shared" si="46"/>
        <v>100</v>
      </c>
      <c r="M210" s="83">
        <f t="shared" si="45"/>
        <v>1.3333333333333333</v>
      </c>
      <c r="N210" s="85">
        <f t="shared" si="47"/>
        <v>1.2507792354636939E-3</v>
      </c>
    </row>
    <row r="211" spans="1:14" ht="14.25" customHeight="1">
      <c r="A211" s="72" t="s">
        <v>174</v>
      </c>
      <c r="B211" s="72" t="s">
        <v>167</v>
      </c>
      <c r="C211" s="72" t="s">
        <v>169</v>
      </c>
      <c r="D211" s="87" t="s">
        <v>118</v>
      </c>
      <c r="E211" s="81">
        <v>613914</v>
      </c>
      <c r="F211" s="82" t="s">
        <v>215</v>
      </c>
      <c r="G211" s="77" t="s">
        <v>96</v>
      </c>
      <c r="H211" s="83">
        <v>1000</v>
      </c>
      <c r="I211" s="84">
        <v>785</v>
      </c>
      <c r="J211" s="84">
        <v>1000</v>
      </c>
      <c r="K211" s="83">
        <v>1000</v>
      </c>
      <c r="L211" s="83">
        <f t="shared" si="46"/>
        <v>100</v>
      </c>
      <c r="M211" s="83">
        <f t="shared" si="45"/>
        <v>1</v>
      </c>
      <c r="N211" s="85">
        <f t="shared" si="47"/>
        <v>6.2538961773184697E-5</v>
      </c>
    </row>
    <row r="212" spans="1:14" ht="15" customHeight="1">
      <c r="A212" s="72" t="s">
        <v>174</v>
      </c>
      <c r="B212" s="72" t="s">
        <v>167</v>
      </c>
      <c r="C212" s="72" t="s">
        <v>169</v>
      </c>
      <c r="D212" s="87" t="s">
        <v>118</v>
      </c>
      <c r="E212" s="81">
        <v>613917</v>
      </c>
      <c r="F212" s="82" t="s">
        <v>215</v>
      </c>
      <c r="G212" s="77" t="s">
        <v>416</v>
      </c>
      <c r="H212" s="83">
        <v>1000</v>
      </c>
      <c r="I212" s="84">
        <v>230</v>
      </c>
      <c r="J212" s="84">
        <v>1000</v>
      </c>
      <c r="K212" s="83">
        <v>1000</v>
      </c>
      <c r="L212" s="83">
        <f t="shared" si="46"/>
        <v>100</v>
      </c>
      <c r="M212" s="83">
        <f t="shared" si="45"/>
        <v>1</v>
      </c>
      <c r="N212" s="85">
        <f t="shared" si="47"/>
        <v>6.2538961773184697E-5</v>
      </c>
    </row>
    <row r="213" spans="1:14" ht="13.5" customHeight="1">
      <c r="A213" s="72" t="s">
        <v>174</v>
      </c>
      <c r="B213" s="72" t="s">
        <v>167</v>
      </c>
      <c r="C213" s="72" t="s">
        <v>169</v>
      </c>
      <c r="D213" s="87" t="s">
        <v>506</v>
      </c>
      <c r="E213" s="81">
        <v>613973</v>
      </c>
      <c r="F213" s="82" t="s">
        <v>215</v>
      </c>
      <c r="G213" s="77" t="s">
        <v>417</v>
      </c>
      <c r="H213" s="83">
        <v>30000</v>
      </c>
      <c r="I213" s="84">
        <v>18482.330000000002</v>
      </c>
      <c r="J213" s="84">
        <v>30000</v>
      </c>
      <c r="K213" s="83">
        <v>30000</v>
      </c>
      <c r="L213" s="83">
        <f t="shared" si="3"/>
        <v>100</v>
      </c>
      <c r="M213" s="83">
        <f t="shared" si="45"/>
        <v>1</v>
      </c>
      <c r="N213" s="85">
        <f t="shared" si="47"/>
        <v>1.8761688531955408E-3</v>
      </c>
    </row>
    <row r="214" spans="1:14" ht="15.75" customHeight="1">
      <c r="A214" s="72" t="s">
        <v>174</v>
      </c>
      <c r="B214" s="72" t="s">
        <v>167</v>
      </c>
      <c r="C214" s="72" t="s">
        <v>169</v>
      </c>
      <c r="D214" s="87" t="s">
        <v>139</v>
      </c>
      <c r="E214" s="81">
        <v>614411</v>
      </c>
      <c r="F214" s="82" t="s">
        <v>215</v>
      </c>
      <c r="G214" s="77" t="s">
        <v>418</v>
      </c>
      <c r="H214" s="83">
        <v>70000</v>
      </c>
      <c r="I214" s="84">
        <v>40000</v>
      </c>
      <c r="J214" s="84">
        <v>70000</v>
      </c>
      <c r="K214" s="83">
        <v>0</v>
      </c>
      <c r="L214" s="83">
        <f t="shared" si="3"/>
        <v>0</v>
      </c>
      <c r="M214" s="83">
        <f t="shared" si="45"/>
        <v>0</v>
      </c>
      <c r="N214" s="85">
        <f t="shared" si="47"/>
        <v>0</v>
      </c>
    </row>
    <row r="215" spans="1:14" ht="11.4">
      <c r="A215" s="72" t="s">
        <v>174</v>
      </c>
      <c r="B215" s="72" t="s">
        <v>167</v>
      </c>
      <c r="C215" s="72" t="s">
        <v>169</v>
      </c>
      <c r="D215" s="87" t="s">
        <v>508</v>
      </c>
      <c r="E215" s="81">
        <v>614411</v>
      </c>
      <c r="F215" s="82" t="s">
        <v>215</v>
      </c>
      <c r="G215" s="86" t="s">
        <v>419</v>
      </c>
      <c r="H215" s="83">
        <v>170000</v>
      </c>
      <c r="I215" s="84">
        <v>127800</v>
      </c>
      <c r="J215" s="84">
        <v>170000</v>
      </c>
      <c r="K215" s="83">
        <v>0</v>
      </c>
      <c r="L215" s="83">
        <f t="shared" si="3"/>
        <v>0</v>
      </c>
      <c r="M215" s="83">
        <f t="shared" si="45"/>
        <v>0</v>
      </c>
      <c r="N215" s="85">
        <f t="shared" si="47"/>
        <v>0</v>
      </c>
    </row>
    <row r="216" spans="1:14" ht="15.75" customHeight="1">
      <c r="A216" s="72" t="s">
        <v>174</v>
      </c>
      <c r="B216" s="72" t="s">
        <v>167</v>
      </c>
      <c r="C216" s="72" t="s">
        <v>169</v>
      </c>
      <c r="D216" s="87" t="s">
        <v>134</v>
      </c>
      <c r="E216" s="81">
        <v>614414</v>
      </c>
      <c r="F216" s="82" t="s">
        <v>215</v>
      </c>
      <c r="G216" s="86" t="s">
        <v>420</v>
      </c>
      <c r="H216" s="83">
        <v>150000</v>
      </c>
      <c r="I216" s="84">
        <v>0</v>
      </c>
      <c r="J216" s="334">
        <v>150000</v>
      </c>
      <c r="K216" s="83">
        <v>150000</v>
      </c>
      <c r="L216" s="83">
        <f t="shared" si="3"/>
        <v>100</v>
      </c>
      <c r="M216" s="83">
        <f t="shared" si="45"/>
        <v>1</v>
      </c>
      <c r="N216" s="85">
        <f t="shared" si="47"/>
        <v>9.3808442659777044E-3</v>
      </c>
    </row>
    <row r="217" spans="1:14" ht="16.5" customHeight="1">
      <c r="A217" s="72" t="s">
        <v>174</v>
      </c>
      <c r="B217" s="72" t="s">
        <v>167</v>
      </c>
      <c r="C217" s="72" t="s">
        <v>169</v>
      </c>
      <c r="D217" s="87" t="s">
        <v>134</v>
      </c>
      <c r="E217" s="81">
        <v>614414</v>
      </c>
      <c r="F217" s="82" t="s">
        <v>215</v>
      </c>
      <c r="G217" s="86" t="s">
        <v>421</v>
      </c>
      <c r="H217" s="83">
        <v>25000</v>
      </c>
      <c r="I217" s="84">
        <v>26616</v>
      </c>
      <c r="J217" s="84">
        <v>26616</v>
      </c>
      <c r="K217" s="83">
        <v>30000</v>
      </c>
      <c r="L217" s="83">
        <f t="shared" si="3"/>
        <v>120</v>
      </c>
      <c r="M217" s="83">
        <f t="shared" si="45"/>
        <v>1.127141568981064</v>
      </c>
      <c r="N217" s="85">
        <f t="shared" si="47"/>
        <v>1.8761688531955408E-3</v>
      </c>
    </row>
    <row r="218" spans="1:14" ht="25.5" customHeight="1">
      <c r="A218" s="72" t="s">
        <v>174</v>
      </c>
      <c r="B218" s="72" t="s">
        <v>167</v>
      </c>
      <c r="C218" s="72" t="s">
        <v>169</v>
      </c>
      <c r="D218" s="87" t="s">
        <v>516</v>
      </c>
      <c r="E218" s="81">
        <v>614417</v>
      </c>
      <c r="F218" s="82" t="s">
        <v>215</v>
      </c>
      <c r="G218" s="86" t="s">
        <v>590</v>
      </c>
      <c r="H218" s="83">
        <v>15000</v>
      </c>
      <c r="I218" s="84">
        <v>6240</v>
      </c>
      <c r="J218" s="84">
        <v>15000</v>
      </c>
      <c r="K218" s="83">
        <v>15000</v>
      </c>
      <c r="L218" s="83">
        <f t="shared" si="3"/>
        <v>100</v>
      </c>
      <c r="M218" s="83">
        <f t="shared" si="45"/>
        <v>1</v>
      </c>
      <c r="N218" s="85">
        <f t="shared" si="47"/>
        <v>9.380844265977704E-4</v>
      </c>
    </row>
    <row r="219" spans="1:14" ht="24" customHeight="1">
      <c r="A219" s="72" t="s">
        <v>174</v>
      </c>
      <c r="B219" s="72" t="s">
        <v>167</v>
      </c>
      <c r="C219" s="72" t="s">
        <v>169</v>
      </c>
      <c r="D219" s="87" t="s">
        <v>508</v>
      </c>
      <c r="E219" s="81">
        <v>614423</v>
      </c>
      <c r="F219" s="82" t="s">
        <v>215</v>
      </c>
      <c r="G219" s="86" t="s">
        <v>422</v>
      </c>
      <c r="H219" s="83">
        <v>0</v>
      </c>
      <c r="I219" s="84">
        <v>0</v>
      </c>
      <c r="J219" s="84">
        <v>0</v>
      </c>
      <c r="K219" s="83">
        <v>170000</v>
      </c>
      <c r="L219" s="83" t="e">
        <f t="shared" ref="L219:L220" si="48">K219/H219*100</f>
        <v>#DIV/0!</v>
      </c>
      <c r="M219" s="83" t="e">
        <f t="shared" si="45"/>
        <v>#DIV/0!</v>
      </c>
      <c r="N219" s="85">
        <f t="shared" si="47"/>
        <v>1.0631623501441399E-2</v>
      </c>
    </row>
    <row r="220" spans="1:14" ht="15" customHeight="1">
      <c r="A220" s="72" t="s">
        <v>174</v>
      </c>
      <c r="B220" s="72" t="s">
        <v>167</v>
      </c>
      <c r="C220" s="72" t="s">
        <v>169</v>
      </c>
      <c r="D220" s="87" t="s">
        <v>139</v>
      </c>
      <c r="E220" s="81">
        <v>614424</v>
      </c>
      <c r="F220" s="82" t="s">
        <v>215</v>
      </c>
      <c r="G220" s="86" t="s">
        <v>423</v>
      </c>
      <c r="H220" s="83">
        <v>0</v>
      </c>
      <c r="I220" s="84">
        <v>0</v>
      </c>
      <c r="J220" s="84">
        <v>0</v>
      </c>
      <c r="K220" s="83">
        <v>70000</v>
      </c>
      <c r="L220" s="83" t="e">
        <f t="shared" si="48"/>
        <v>#DIV/0!</v>
      </c>
      <c r="M220" s="83" t="e">
        <f t="shared" si="45"/>
        <v>#DIV/0!</v>
      </c>
      <c r="N220" s="85">
        <f t="shared" si="47"/>
        <v>4.3777273241229287E-3</v>
      </c>
    </row>
    <row r="221" spans="1:14" ht="15" customHeight="1">
      <c r="A221" s="72" t="s">
        <v>174</v>
      </c>
      <c r="B221" s="72" t="s">
        <v>167</v>
      </c>
      <c r="C221" s="72" t="s">
        <v>169</v>
      </c>
      <c r="D221" s="87" t="s">
        <v>517</v>
      </c>
      <c r="E221" s="81">
        <v>614511</v>
      </c>
      <c r="F221" s="82" t="s">
        <v>215</v>
      </c>
      <c r="G221" s="77" t="s">
        <v>424</v>
      </c>
      <c r="H221" s="83">
        <v>70000</v>
      </c>
      <c r="I221" s="84">
        <v>55615.69</v>
      </c>
      <c r="J221" s="84">
        <v>70000</v>
      </c>
      <c r="K221" s="83">
        <v>50000</v>
      </c>
      <c r="L221" s="83">
        <f t="shared" si="3"/>
        <v>71.428571428571431</v>
      </c>
      <c r="M221" s="83">
        <f t="shared" si="45"/>
        <v>0.7142857142857143</v>
      </c>
      <c r="N221" s="85">
        <f t="shared" si="47"/>
        <v>3.1269480886592345E-3</v>
      </c>
    </row>
    <row r="222" spans="1:14" ht="14.25" customHeight="1">
      <c r="A222" s="72" t="s">
        <v>174</v>
      </c>
      <c r="B222" s="72" t="s">
        <v>167</v>
      </c>
      <c r="C222" s="72" t="s">
        <v>169</v>
      </c>
      <c r="D222" s="87" t="s">
        <v>506</v>
      </c>
      <c r="E222" s="76">
        <v>614519</v>
      </c>
      <c r="F222" s="82" t="s">
        <v>215</v>
      </c>
      <c r="G222" s="77" t="s">
        <v>425</v>
      </c>
      <c r="H222" s="102">
        <v>5000</v>
      </c>
      <c r="I222" s="103">
        <v>0</v>
      </c>
      <c r="J222" s="103">
        <v>5000</v>
      </c>
      <c r="K222" s="102">
        <v>5000</v>
      </c>
      <c r="L222" s="83">
        <f t="shared" si="3"/>
        <v>100</v>
      </c>
      <c r="M222" s="83">
        <f t="shared" si="45"/>
        <v>1</v>
      </c>
      <c r="N222" s="85">
        <f t="shared" si="47"/>
        <v>3.1269480886592348E-4</v>
      </c>
    </row>
    <row r="223" spans="1:14" ht="12">
      <c r="A223" s="65"/>
      <c r="B223" s="65"/>
      <c r="C223" s="65"/>
      <c r="D223" s="87"/>
      <c r="E223" s="74"/>
      <c r="F223" s="88"/>
      <c r="G223" s="75" t="s">
        <v>426</v>
      </c>
      <c r="H223" s="78">
        <f>SUM(H173:H222)</f>
        <v>1664409</v>
      </c>
      <c r="I223" s="78">
        <f>SUM(I173:I222)</f>
        <v>710610.19</v>
      </c>
      <c r="J223" s="78">
        <f>SUM(J173:J222)</f>
        <v>1516991.23</v>
      </c>
      <c r="K223" s="78">
        <f>SUM(K173:K222)</f>
        <v>1755851</v>
      </c>
      <c r="L223" s="78">
        <f t="shared" si="3"/>
        <v>105.49396212108924</v>
      </c>
      <c r="M223" s="83">
        <f t="shared" si="45"/>
        <v>1.1574562629475451</v>
      </c>
      <c r="N223" s="89">
        <f t="shared" si="47"/>
        <v>0.10980909856840812</v>
      </c>
    </row>
    <row r="224" spans="1:14" ht="12">
      <c r="A224" s="65"/>
      <c r="B224" s="65"/>
      <c r="C224" s="65"/>
      <c r="D224" s="87"/>
      <c r="E224" s="74"/>
      <c r="F224" s="88"/>
      <c r="G224" s="79" t="s">
        <v>525</v>
      </c>
      <c r="H224" s="74">
        <v>13</v>
      </c>
      <c r="I224" s="74">
        <v>13</v>
      </c>
      <c r="J224" s="74">
        <v>13</v>
      </c>
      <c r="K224" s="74">
        <v>15</v>
      </c>
      <c r="L224" s="78"/>
      <c r="M224" s="83"/>
      <c r="N224" s="89"/>
    </row>
    <row r="225" spans="1:14" ht="12">
      <c r="A225" s="51"/>
      <c r="B225" s="51"/>
      <c r="C225" s="51"/>
      <c r="D225" s="130"/>
      <c r="E225" s="108"/>
      <c r="F225" s="56"/>
      <c r="G225" s="108"/>
      <c r="H225" s="108"/>
      <c r="I225" s="108"/>
      <c r="J225" s="108"/>
      <c r="K225" s="350"/>
      <c r="L225" s="327"/>
      <c r="M225" s="324"/>
      <c r="N225" s="322"/>
    </row>
    <row r="226" spans="1:14" ht="12">
      <c r="A226" s="51"/>
      <c r="B226" s="51"/>
      <c r="C226" s="51"/>
      <c r="D226" s="130"/>
      <c r="E226" s="108"/>
      <c r="F226" s="56"/>
      <c r="G226" s="108"/>
      <c r="H226" s="108"/>
      <c r="I226" s="105"/>
      <c r="J226" s="105"/>
      <c r="K226" s="327"/>
      <c r="L226" s="327"/>
      <c r="M226" s="324"/>
      <c r="N226" s="322"/>
    </row>
    <row r="227" spans="1:14" ht="49.5" customHeight="1">
      <c r="A227" s="72" t="s">
        <v>176</v>
      </c>
      <c r="B227" s="72" t="s">
        <v>167</v>
      </c>
      <c r="C227" s="65"/>
      <c r="D227" s="87"/>
      <c r="E227" s="74"/>
      <c r="F227" s="82"/>
      <c r="G227" s="75" t="s">
        <v>540</v>
      </c>
      <c r="H227" s="351"/>
      <c r="I227" s="352"/>
      <c r="J227" s="352"/>
      <c r="K227" s="351"/>
      <c r="L227" s="83"/>
      <c r="M227" s="83"/>
      <c r="N227" s="85"/>
    </row>
    <row r="228" spans="1:14" ht="12">
      <c r="A228" s="72"/>
      <c r="B228" s="65"/>
      <c r="C228" s="65"/>
      <c r="D228" s="87"/>
      <c r="E228" s="74">
        <v>610000</v>
      </c>
      <c r="F228" s="88"/>
      <c r="G228" s="79" t="s">
        <v>168</v>
      </c>
      <c r="H228" s="78"/>
      <c r="I228" s="90"/>
      <c r="J228" s="90"/>
      <c r="K228" s="78"/>
      <c r="L228" s="83"/>
      <c r="M228" s="83"/>
      <c r="N228" s="85"/>
    </row>
    <row r="229" spans="1:14" ht="16.5" customHeight="1">
      <c r="A229" s="72" t="s">
        <v>177</v>
      </c>
      <c r="B229" s="72" t="s">
        <v>167</v>
      </c>
      <c r="C229" s="72" t="s">
        <v>169</v>
      </c>
      <c r="D229" s="80" t="s">
        <v>116</v>
      </c>
      <c r="E229" s="76">
        <v>611110</v>
      </c>
      <c r="F229" s="82" t="s">
        <v>215</v>
      </c>
      <c r="G229" s="77" t="s">
        <v>172</v>
      </c>
      <c r="H229" s="83">
        <v>0</v>
      </c>
      <c r="I229" s="84">
        <v>0</v>
      </c>
      <c r="J229" s="84">
        <v>0</v>
      </c>
      <c r="K229" s="83">
        <v>349380</v>
      </c>
      <c r="L229" s="83" t="e">
        <f t="shared" ref="L229:L241" si="49">K229/H229*100</f>
        <v>#DIV/0!</v>
      </c>
      <c r="M229" s="83" t="e">
        <f t="shared" si="45"/>
        <v>#DIV/0!</v>
      </c>
      <c r="N229" s="85">
        <f t="shared" ref="N229:N250" si="50">K229/K$390</f>
        <v>2.1849862464315268E-2</v>
      </c>
    </row>
    <row r="230" spans="1:14" ht="16.5" customHeight="1">
      <c r="A230" s="72" t="s">
        <v>177</v>
      </c>
      <c r="B230" s="72" t="s">
        <v>167</v>
      </c>
      <c r="C230" s="72" t="s">
        <v>169</v>
      </c>
      <c r="D230" s="80" t="s">
        <v>116</v>
      </c>
      <c r="E230" s="76">
        <v>611111</v>
      </c>
      <c r="F230" s="82" t="s">
        <v>215</v>
      </c>
      <c r="G230" s="77" t="s">
        <v>307</v>
      </c>
      <c r="H230" s="83">
        <v>327315</v>
      </c>
      <c r="I230" s="84">
        <v>205547</v>
      </c>
      <c r="J230" s="84">
        <v>271779</v>
      </c>
      <c r="K230" s="83">
        <v>0</v>
      </c>
      <c r="L230" s="83">
        <f t="shared" si="49"/>
        <v>0</v>
      </c>
      <c r="M230" s="83">
        <f t="shared" si="45"/>
        <v>0</v>
      </c>
      <c r="N230" s="85">
        <f t="shared" si="50"/>
        <v>0</v>
      </c>
    </row>
    <row r="231" spans="1:14" ht="15" customHeight="1">
      <c r="A231" s="72" t="s">
        <v>177</v>
      </c>
      <c r="B231" s="72" t="s">
        <v>167</v>
      </c>
      <c r="C231" s="72" t="s">
        <v>169</v>
      </c>
      <c r="D231" s="80" t="s">
        <v>116</v>
      </c>
      <c r="E231" s="76">
        <v>611130</v>
      </c>
      <c r="F231" s="82" t="s">
        <v>215</v>
      </c>
      <c r="G231" s="77" t="s">
        <v>308</v>
      </c>
      <c r="H231" s="83">
        <v>0</v>
      </c>
      <c r="I231" s="84">
        <v>0</v>
      </c>
      <c r="J231" s="84">
        <v>0</v>
      </c>
      <c r="K231" s="83">
        <v>156980</v>
      </c>
      <c r="L231" s="83" t="e">
        <f t="shared" si="49"/>
        <v>#DIV/0!</v>
      </c>
      <c r="M231" s="83" t="e">
        <f t="shared" si="45"/>
        <v>#DIV/0!</v>
      </c>
      <c r="N231" s="85">
        <f t="shared" si="50"/>
        <v>9.817366219154534E-3</v>
      </c>
    </row>
    <row r="232" spans="1:14" ht="15" customHeight="1">
      <c r="A232" s="72" t="s">
        <v>177</v>
      </c>
      <c r="B232" s="72" t="s">
        <v>167</v>
      </c>
      <c r="C232" s="72" t="s">
        <v>169</v>
      </c>
      <c r="D232" s="80" t="s">
        <v>116</v>
      </c>
      <c r="E232" s="76">
        <v>611131</v>
      </c>
      <c r="F232" s="82" t="s">
        <v>215</v>
      </c>
      <c r="G232" s="77" t="s">
        <v>309</v>
      </c>
      <c r="H232" s="83">
        <v>147055</v>
      </c>
      <c r="I232" s="84">
        <v>93973.4</v>
      </c>
      <c r="J232" s="84">
        <v>122110</v>
      </c>
      <c r="K232" s="83">
        <v>0</v>
      </c>
      <c r="L232" s="83">
        <f t="shared" si="49"/>
        <v>0</v>
      </c>
      <c r="M232" s="83">
        <f t="shared" si="45"/>
        <v>0</v>
      </c>
      <c r="N232" s="85">
        <f t="shared" si="50"/>
        <v>0</v>
      </c>
    </row>
    <row r="233" spans="1:14" ht="15" customHeight="1">
      <c r="A233" s="72" t="s">
        <v>177</v>
      </c>
      <c r="B233" s="72" t="s">
        <v>167</v>
      </c>
      <c r="C233" s="72" t="s">
        <v>169</v>
      </c>
      <c r="D233" s="80" t="s">
        <v>116</v>
      </c>
      <c r="E233" s="76">
        <v>611211</v>
      </c>
      <c r="F233" s="82" t="s">
        <v>215</v>
      </c>
      <c r="G233" s="77" t="s">
        <v>310</v>
      </c>
      <c r="H233" s="83">
        <v>15600</v>
      </c>
      <c r="I233" s="84">
        <v>8080.65</v>
      </c>
      <c r="J233" s="84">
        <v>10432</v>
      </c>
      <c r="K233" s="83">
        <v>12640</v>
      </c>
      <c r="L233" s="83">
        <f t="shared" si="49"/>
        <v>81.025641025641022</v>
      </c>
      <c r="M233" s="83">
        <f t="shared" si="45"/>
        <v>1.2116564417177915</v>
      </c>
      <c r="N233" s="85">
        <f t="shared" si="50"/>
        <v>7.9049247681305449E-4</v>
      </c>
    </row>
    <row r="234" spans="1:14" ht="15" customHeight="1">
      <c r="A234" s="72" t="s">
        <v>177</v>
      </c>
      <c r="B234" s="72" t="s">
        <v>167</v>
      </c>
      <c r="C234" s="72" t="s">
        <v>169</v>
      </c>
      <c r="D234" s="80" t="s">
        <v>116</v>
      </c>
      <c r="E234" s="76">
        <v>611221</v>
      </c>
      <c r="F234" s="82" t="s">
        <v>215</v>
      </c>
      <c r="G234" s="77" t="s">
        <v>289</v>
      </c>
      <c r="H234" s="83">
        <v>53856</v>
      </c>
      <c r="I234" s="84">
        <v>23345.64</v>
      </c>
      <c r="J234" s="84">
        <v>30511</v>
      </c>
      <c r="K234" s="83">
        <v>58340</v>
      </c>
      <c r="L234" s="83">
        <f t="shared" si="49"/>
        <v>108.32590612002377</v>
      </c>
      <c r="M234" s="83">
        <f t="shared" si="45"/>
        <v>1.9120972763921209</v>
      </c>
      <c r="N234" s="85">
        <f t="shared" si="50"/>
        <v>3.6485230298475952E-3</v>
      </c>
    </row>
    <row r="235" spans="1:14" ht="13.5" customHeight="1">
      <c r="A235" s="72" t="s">
        <v>177</v>
      </c>
      <c r="B235" s="72" t="s">
        <v>167</v>
      </c>
      <c r="C235" s="72" t="s">
        <v>169</v>
      </c>
      <c r="D235" s="80" t="s">
        <v>116</v>
      </c>
      <c r="E235" s="76">
        <v>611224</v>
      </c>
      <c r="F235" s="82" t="s">
        <v>215</v>
      </c>
      <c r="G235" s="77" t="s">
        <v>75</v>
      </c>
      <c r="H235" s="83">
        <v>10200</v>
      </c>
      <c r="I235" s="84">
        <v>7800</v>
      </c>
      <c r="J235" s="84">
        <v>7800</v>
      </c>
      <c r="K235" s="83">
        <v>11050</v>
      </c>
      <c r="L235" s="83">
        <f t="shared" si="49"/>
        <v>108.33333333333333</v>
      </c>
      <c r="M235" s="83">
        <f t="shared" si="45"/>
        <v>1.4166666666666667</v>
      </c>
      <c r="N235" s="85">
        <f t="shared" si="50"/>
        <v>6.9105552759369084E-4</v>
      </c>
    </row>
    <row r="236" spans="1:14" ht="15" customHeight="1">
      <c r="A236" s="72" t="s">
        <v>177</v>
      </c>
      <c r="B236" s="72" t="s">
        <v>167</v>
      </c>
      <c r="C236" s="72" t="s">
        <v>169</v>
      </c>
      <c r="D236" s="80" t="s">
        <v>116</v>
      </c>
      <c r="E236" s="76">
        <v>611225</v>
      </c>
      <c r="F236" s="82" t="s">
        <v>215</v>
      </c>
      <c r="G236" s="77" t="s">
        <v>179</v>
      </c>
      <c r="H236" s="83">
        <v>6400</v>
      </c>
      <c r="I236" s="84">
        <v>0</v>
      </c>
      <c r="J236" s="84">
        <v>6400</v>
      </c>
      <c r="K236" s="83">
        <v>14780</v>
      </c>
      <c r="L236" s="83">
        <f t="shared" si="49"/>
        <v>230.93750000000003</v>
      </c>
      <c r="M236" s="83">
        <f t="shared" si="45"/>
        <v>2.3093750000000002</v>
      </c>
      <c r="N236" s="85">
        <f t="shared" si="50"/>
        <v>9.2432585500766974E-4</v>
      </c>
    </row>
    <row r="237" spans="1:14" ht="15" customHeight="1">
      <c r="A237" s="72" t="s">
        <v>177</v>
      </c>
      <c r="B237" s="72" t="s">
        <v>167</v>
      </c>
      <c r="C237" s="72" t="s">
        <v>169</v>
      </c>
      <c r="D237" s="80" t="s">
        <v>116</v>
      </c>
      <c r="E237" s="76">
        <v>611227</v>
      </c>
      <c r="F237" s="82" t="s">
        <v>215</v>
      </c>
      <c r="G237" s="77" t="s">
        <v>291</v>
      </c>
      <c r="H237" s="83">
        <v>3400</v>
      </c>
      <c r="I237" s="84">
        <v>0</v>
      </c>
      <c r="J237" s="84">
        <v>3400</v>
      </c>
      <c r="K237" s="83">
        <v>3400</v>
      </c>
      <c r="L237" s="83">
        <f t="shared" si="49"/>
        <v>100</v>
      </c>
      <c r="M237" s="83">
        <f t="shared" si="45"/>
        <v>1</v>
      </c>
      <c r="N237" s="85">
        <f t="shared" si="50"/>
        <v>2.1263247002882796E-4</v>
      </c>
    </row>
    <row r="238" spans="1:14" ht="14.4" customHeight="1">
      <c r="A238" s="72" t="s">
        <v>177</v>
      </c>
      <c r="B238" s="72" t="s">
        <v>167</v>
      </c>
      <c r="C238" s="72" t="s">
        <v>169</v>
      </c>
      <c r="D238" s="80" t="s">
        <v>116</v>
      </c>
      <c r="E238" s="76">
        <v>612110</v>
      </c>
      <c r="F238" s="82" t="s">
        <v>215</v>
      </c>
      <c r="G238" s="77" t="s">
        <v>292</v>
      </c>
      <c r="H238" s="83">
        <v>0</v>
      </c>
      <c r="I238" s="84">
        <v>0</v>
      </c>
      <c r="J238" s="84">
        <v>0</v>
      </c>
      <c r="K238" s="83">
        <v>53170</v>
      </c>
      <c r="L238" s="83" t="e">
        <f t="shared" si="49"/>
        <v>#DIV/0!</v>
      </c>
      <c r="M238" s="83" t="e">
        <f t="shared" si="45"/>
        <v>#DIV/0!</v>
      </c>
      <c r="N238" s="85">
        <f t="shared" si="50"/>
        <v>3.3251965974802301E-3</v>
      </c>
    </row>
    <row r="239" spans="1:14" ht="12.75" customHeight="1">
      <c r="A239" s="72" t="s">
        <v>177</v>
      </c>
      <c r="B239" s="72" t="s">
        <v>167</v>
      </c>
      <c r="C239" s="72" t="s">
        <v>169</v>
      </c>
      <c r="D239" s="80" t="s">
        <v>116</v>
      </c>
      <c r="E239" s="76">
        <v>612211</v>
      </c>
      <c r="F239" s="82" t="s">
        <v>215</v>
      </c>
      <c r="G239" s="86" t="s">
        <v>77</v>
      </c>
      <c r="H239" s="83">
        <v>54056</v>
      </c>
      <c r="I239" s="84">
        <v>38363.1</v>
      </c>
      <c r="J239" s="84">
        <v>41358</v>
      </c>
      <c r="K239" s="83">
        <v>0</v>
      </c>
      <c r="L239" s="83">
        <f t="shared" si="49"/>
        <v>0</v>
      </c>
      <c r="M239" s="83">
        <f t="shared" si="45"/>
        <v>0</v>
      </c>
      <c r="N239" s="85">
        <f t="shared" si="50"/>
        <v>0</v>
      </c>
    </row>
    <row r="240" spans="1:14" ht="14.25" customHeight="1">
      <c r="A240" s="72" t="s">
        <v>177</v>
      </c>
      <c r="B240" s="72" t="s">
        <v>167</v>
      </c>
      <c r="C240" s="72" t="s">
        <v>169</v>
      </c>
      <c r="D240" s="80" t="s">
        <v>116</v>
      </c>
      <c r="E240" s="76">
        <v>613115</v>
      </c>
      <c r="F240" s="82" t="s">
        <v>215</v>
      </c>
      <c r="G240" s="77" t="s">
        <v>297</v>
      </c>
      <c r="H240" s="83">
        <v>500</v>
      </c>
      <c r="I240" s="84">
        <v>0</v>
      </c>
      <c r="J240" s="84">
        <v>500</v>
      </c>
      <c r="K240" s="83">
        <v>500</v>
      </c>
      <c r="L240" s="83">
        <f t="shared" si="49"/>
        <v>100</v>
      </c>
      <c r="M240" s="83">
        <f t="shared" si="45"/>
        <v>1</v>
      </c>
      <c r="N240" s="85">
        <f t="shared" si="50"/>
        <v>3.1269480886592348E-5</v>
      </c>
    </row>
    <row r="241" spans="1:14" ht="15" customHeight="1">
      <c r="A241" s="72" t="s">
        <v>177</v>
      </c>
      <c r="B241" s="72" t="s">
        <v>167</v>
      </c>
      <c r="C241" s="72" t="s">
        <v>169</v>
      </c>
      <c r="D241" s="80" t="s">
        <v>116</v>
      </c>
      <c r="E241" s="81">
        <v>613417</v>
      </c>
      <c r="F241" s="82" t="s">
        <v>215</v>
      </c>
      <c r="G241" s="77" t="s">
        <v>86</v>
      </c>
      <c r="H241" s="83">
        <v>11000</v>
      </c>
      <c r="I241" s="84">
        <v>11479.91</v>
      </c>
      <c r="J241" s="84">
        <v>11480</v>
      </c>
      <c r="K241" s="83">
        <v>12000</v>
      </c>
      <c r="L241" s="83">
        <f t="shared" si="49"/>
        <v>109.09090909090908</v>
      </c>
      <c r="M241" s="83">
        <f t="shared" si="45"/>
        <v>1.0452961672473868</v>
      </c>
      <c r="N241" s="85">
        <f t="shared" si="50"/>
        <v>7.5046754127821636E-4</v>
      </c>
    </row>
    <row r="242" spans="1:14" ht="16.5" customHeight="1">
      <c r="A242" s="72" t="s">
        <v>177</v>
      </c>
      <c r="B242" s="72" t="s">
        <v>167</v>
      </c>
      <c r="C242" s="72" t="s">
        <v>169</v>
      </c>
      <c r="D242" s="80" t="s">
        <v>116</v>
      </c>
      <c r="E242" s="81">
        <v>613491</v>
      </c>
      <c r="F242" s="82" t="s">
        <v>215</v>
      </c>
      <c r="G242" s="77" t="s">
        <v>405</v>
      </c>
      <c r="H242" s="83">
        <v>500</v>
      </c>
      <c r="I242" s="84">
        <v>0</v>
      </c>
      <c r="J242" s="84">
        <v>500</v>
      </c>
      <c r="K242" s="83">
        <v>500</v>
      </c>
      <c r="L242" s="83">
        <f t="shared" ref="L242:L249" si="51">K242/H242*100</f>
        <v>100</v>
      </c>
      <c r="M242" s="83">
        <f t="shared" si="45"/>
        <v>1</v>
      </c>
      <c r="N242" s="85">
        <f t="shared" si="50"/>
        <v>3.1269480886592348E-5</v>
      </c>
    </row>
    <row r="243" spans="1:14" ht="16.5" customHeight="1">
      <c r="A243" s="72" t="s">
        <v>177</v>
      </c>
      <c r="B243" s="72" t="s">
        <v>167</v>
      </c>
      <c r="C243" s="72" t="s">
        <v>169</v>
      </c>
      <c r="D243" s="80" t="s">
        <v>116</v>
      </c>
      <c r="E243" s="81">
        <v>613724</v>
      </c>
      <c r="F243" s="82" t="s">
        <v>215</v>
      </c>
      <c r="G243" s="57" t="s">
        <v>574</v>
      </c>
      <c r="H243" s="83">
        <v>0</v>
      </c>
      <c r="I243" s="84">
        <v>0</v>
      </c>
      <c r="J243" s="84">
        <v>0</v>
      </c>
      <c r="K243" s="333">
        <v>20000</v>
      </c>
      <c r="L243" s="83" t="e">
        <f t="shared" si="51"/>
        <v>#DIV/0!</v>
      </c>
      <c r="M243" s="83" t="e">
        <f t="shared" si="45"/>
        <v>#DIV/0!</v>
      </c>
      <c r="N243" s="85">
        <f t="shared" si="50"/>
        <v>1.2507792354636939E-3</v>
      </c>
    </row>
    <row r="244" spans="1:14" ht="16.5" customHeight="1">
      <c r="A244" s="72" t="s">
        <v>177</v>
      </c>
      <c r="B244" s="72" t="s">
        <v>167</v>
      </c>
      <c r="C244" s="72" t="s">
        <v>169</v>
      </c>
      <c r="D244" s="80" t="s">
        <v>116</v>
      </c>
      <c r="E244" s="81">
        <v>613724</v>
      </c>
      <c r="F244" s="82" t="s">
        <v>215</v>
      </c>
      <c r="G244" s="76" t="s">
        <v>575</v>
      </c>
      <c r="H244" s="83">
        <v>0</v>
      </c>
      <c r="I244" s="84">
        <v>0</v>
      </c>
      <c r="J244" s="84">
        <v>0</v>
      </c>
      <c r="K244" s="333">
        <v>30000</v>
      </c>
      <c r="L244" s="83" t="e">
        <f t="shared" si="51"/>
        <v>#DIV/0!</v>
      </c>
      <c r="M244" s="83" t="e">
        <f t="shared" si="45"/>
        <v>#DIV/0!</v>
      </c>
      <c r="N244" s="85">
        <f t="shared" si="50"/>
        <v>1.8761688531955408E-3</v>
      </c>
    </row>
    <row r="245" spans="1:14" ht="16.5" customHeight="1">
      <c r="A245" s="72" t="s">
        <v>177</v>
      </c>
      <c r="B245" s="72" t="s">
        <v>167</v>
      </c>
      <c r="C245" s="72" t="s">
        <v>169</v>
      </c>
      <c r="D245" s="80" t="s">
        <v>116</v>
      </c>
      <c r="E245" s="81">
        <v>613724</v>
      </c>
      <c r="F245" s="82" t="s">
        <v>215</v>
      </c>
      <c r="G245" s="336" t="s">
        <v>576</v>
      </c>
      <c r="H245" s="83">
        <v>0</v>
      </c>
      <c r="I245" s="84">
        <v>0</v>
      </c>
      <c r="J245" s="84">
        <v>0</v>
      </c>
      <c r="K245" s="333">
        <v>30000</v>
      </c>
      <c r="L245" s="83" t="e">
        <f t="shared" si="51"/>
        <v>#DIV/0!</v>
      </c>
      <c r="M245" s="83" t="e">
        <f t="shared" si="45"/>
        <v>#DIV/0!</v>
      </c>
      <c r="N245" s="85">
        <f t="shared" si="50"/>
        <v>1.8761688531955408E-3</v>
      </c>
    </row>
    <row r="246" spans="1:14" ht="16.5" customHeight="1">
      <c r="A246" s="72" t="s">
        <v>167</v>
      </c>
      <c r="B246" s="72" t="s">
        <v>167</v>
      </c>
      <c r="C246" s="72" t="s">
        <v>169</v>
      </c>
      <c r="D246" s="80" t="s">
        <v>508</v>
      </c>
      <c r="E246" s="81">
        <v>613727</v>
      </c>
      <c r="F246" s="82" t="s">
        <v>215</v>
      </c>
      <c r="G246" s="344" t="s">
        <v>571</v>
      </c>
      <c r="H246" s="83">
        <v>0</v>
      </c>
      <c r="I246" s="84">
        <v>0</v>
      </c>
      <c r="J246" s="84">
        <v>0</v>
      </c>
      <c r="K246" s="333">
        <v>100000</v>
      </c>
      <c r="L246" s="83" t="e">
        <f t="shared" si="51"/>
        <v>#DIV/0!</v>
      </c>
      <c r="M246" s="83" t="e">
        <f t="shared" si="45"/>
        <v>#DIV/0!</v>
      </c>
      <c r="N246" s="85">
        <f t="shared" si="50"/>
        <v>6.253896177318469E-3</v>
      </c>
    </row>
    <row r="247" spans="1:14" ht="13.5" customHeight="1">
      <c r="A247" s="72" t="s">
        <v>177</v>
      </c>
      <c r="B247" s="72" t="s">
        <v>167</v>
      </c>
      <c r="C247" s="72" t="s">
        <v>169</v>
      </c>
      <c r="D247" s="80" t="s">
        <v>116</v>
      </c>
      <c r="E247" s="81">
        <v>613814</v>
      </c>
      <c r="F247" s="82" t="s">
        <v>215</v>
      </c>
      <c r="G247" s="77" t="s">
        <v>299</v>
      </c>
      <c r="H247" s="83">
        <v>960</v>
      </c>
      <c r="I247" s="84">
        <v>890.5</v>
      </c>
      <c r="J247" s="84">
        <v>960</v>
      </c>
      <c r="K247" s="83">
        <v>960</v>
      </c>
      <c r="L247" s="83">
        <f t="shared" si="51"/>
        <v>100</v>
      </c>
      <c r="M247" s="83">
        <f t="shared" si="45"/>
        <v>1</v>
      </c>
      <c r="N247" s="85">
        <f t="shared" si="50"/>
        <v>6.0037403302257307E-5</v>
      </c>
    </row>
    <row r="248" spans="1:14" ht="14.25" customHeight="1">
      <c r="A248" s="72" t="s">
        <v>177</v>
      </c>
      <c r="B248" s="72" t="s">
        <v>167</v>
      </c>
      <c r="C248" s="72" t="s">
        <v>169</v>
      </c>
      <c r="D248" s="80" t="s">
        <v>116</v>
      </c>
      <c r="E248" s="81">
        <v>613914</v>
      </c>
      <c r="F248" s="82" t="s">
        <v>215</v>
      </c>
      <c r="G248" s="77" t="s">
        <v>96</v>
      </c>
      <c r="H248" s="83">
        <v>1000</v>
      </c>
      <c r="I248" s="84">
        <v>725</v>
      </c>
      <c r="J248" s="84">
        <v>1000</v>
      </c>
      <c r="K248" s="83">
        <v>1000</v>
      </c>
      <c r="L248" s="83">
        <f t="shared" si="51"/>
        <v>100</v>
      </c>
      <c r="M248" s="83">
        <f t="shared" si="45"/>
        <v>1</v>
      </c>
      <c r="N248" s="85">
        <f t="shared" si="50"/>
        <v>6.2538961773184697E-5</v>
      </c>
    </row>
    <row r="249" spans="1:14" ht="14.25" customHeight="1">
      <c r="A249" s="72" t="s">
        <v>177</v>
      </c>
      <c r="B249" s="72" t="s">
        <v>167</v>
      </c>
      <c r="C249" s="72" t="s">
        <v>169</v>
      </c>
      <c r="D249" s="80" t="s">
        <v>116</v>
      </c>
      <c r="E249" s="81">
        <v>613919</v>
      </c>
      <c r="F249" s="82" t="s">
        <v>215</v>
      </c>
      <c r="G249" s="77" t="s">
        <v>573</v>
      </c>
      <c r="H249" s="83">
        <v>2700</v>
      </c>
      <c r="I249" s="84">
        <v>0</v>
      </c>
      <c r="J249" s="84">
        <v>2700</v>
      </c>
      <c r="K249" s="83">
        <v>2700</v>
      </c>
      <c r="L249" s="83">
        <f t="shared" si="51"/>
        <v>100</v>
      </c>
      <c r="M249" s="83">
        <f t="shared" si="45"/>
        <v>1</v>
      </c>
      <c r="N249" s="85">
        <f t="shared" si="50"/>
        <v>1.6885519678759868E-4</v>
      </c>
    </row>
    <row r="250" spans="1:14" ht="26.25" customHeight="1">
      <c r="A250" s="65"/>
      <c r="B250" s="65"/>
      <c r="C250" s="65"/>
      <c r="D250" s="87"/>
      <c r="E250" s="74"/>
      <c r="F250" s="82"/>
      <c r="G250" s="75" t="s">
        <v>591</v>
      </c>
      <c r="H250" s="78">
        <f>SUM(H229:H249)</f>
        <v>634542</v>
      </c>
      <c r="I250" s="78">
        <f>SUM(I229:I249)</f>
        <v>390205.2</v>
      </c>
      <c r="J250" s="78">
        <f>SUM(J229:J249)</f>
        <v>510930</v>
      </c>
      <c r="K250" s="78">
        <f>SUM(K229:K249)</f>
        <v>857400</v>
      </c>
      <c r="L250" s="78">
        <f t="shared" ref="L250:L295" si="52">K250/H250*100</f>
        <v>135.12107945573342</v>
      </c>
      <c r="M250" s="83">
        <f t="shared" si="45"/>
        <v>1.6781163760201985</v>
      </c>
      <c r="N250" s="89">
        <f t="shared" si="50"/>
        <v>5.3620905824328553E-2</v>
      </c>
    </row>
    <row r="251" spans="1:14" ht="12">
      <c r="A251" s="65"/>
      <c r="B251" s="65"/>
      <c r="C251" s="65"/>
      <c r="D251" s="87"/>
      <c r="E251" s="74"/>
      <c r="F251" s="88"/>
      <c r="G251" s="79" t="s">
        <v>525</v>
      </c>
      <c r="H251" s="74">
        <v>17</v>
      </c>
      <c r="I251" s="74">
        <v>15</v>
      </c>
      <c r="J251" s="74">
        <v>15</v>
      </c>
      <c r="K251" s="74">
        <v>17</v>
      </c>
      <c r="L251" s="78"/>
      <c r="M251" s="83"/>
      <c r="N251" s="89"/>
    </row>
    <row r="252" spans="1:14" ht="12">
      <c r="A252" s="51"/>
      <c r="B252" s="51"/>
      <c r="C252" s="51"/>
      <c r="D252" s="130"/>
      <c r="E252" s="108"/>
      <c r="F252" s="131"/>
      <c r="G252" s="108"/>
      <c r="H252" s="105"/>
      <c r="I252" s="105"/>
      <c r="J252" s="105"/>
      <c r="K252" s="105"/>
      <c r="L252" s="105"/>
      <c r="M252" s="325"/>
      <c r="N252" s="106"/>
    </row>
    <row r="253" spans="1:14" ht="12">
      <c r="A253" s="133"/>
      <c r="B253" s="133"/>
      <c r="C253" s="133"/>
      <c r="D253" s="134"/>
      <c r="E253" s="135"/>
      <c r="F253" s="136"/>
      <c r="G253" s="135"/>
      <c r="H253" s="137"/>
      <c r="I253" s="137"/>
      <c r="J253" s="137"/>
      <c r="K253" s="137"/>
      <c r="L253" s="137"/>
      <c r="M253" s="323"/>
      <c r="N253" s="138"/>
    </row>
    <row r="254" spans="1:14" ht="51" customHeight="1">
      <c r="A254" s="91" t="s">
        <v>178</v>
      </c>
      <c r="B254" s="92" t="s">
        <v>167</v>
      </c>
      <c r="C254" s="92"/>
      <c r="D254" s="94"/>
      <c r="E254" s="95"/>
      <c r="F254" s="126"/>
      <c r="G254" s="132" t="s">
        <v>536</v>
      </c>
      <c r="H254" s="127"/>
      <c r="I254" s="128"/>
      <c r="J254" s="128"/>
      <c r="K254" s="127"/>
      <c r="L254" s="102"/>
      <c r="M254" s="102"/>
      <c r="N254" s="129"/>
    </row>
    <row r="255" spans="1:14" ht="12">
      <c r="A255" s="65"/>
      <c r="B255" s="65"/>
      <c r="C255" s="65"/>
      <c r="D255" s="87"/>
      <c r="E255" s="74">
        <v>610000</v>
      </c>
      <c r="F255" s="82"/>
      <c r="G255" s="79" t="s">
        <v>168</v>
      </c>
      <c r="H255" s="78"/>
      <c r="I255" s="90"/>
      <c r="J255" s="90"/>
      <c r="K255" s="78"/>
      <c r="L255" s="83"/>
      <c r="M255" s="83"/>
      <c r="N255" s="85"/>
    </row>
    <row r="256" spans="1:14" ht="16.5" customHeight="1">
      <c r="A256" s="72" t="s">
        <v>505</v>
      </c>
      <c r="B256" s="72" t="s">
        <v>167</v>
      </c>
      <c r="C256" s="72" t="s">
        <v>169</v>
      </c>
      <c r="D256" s="87" t="s">
        <v>121</v>
      </c>
      <c r="E256" s="76">
        <v>611110</v>
      </c>
      <c r="F256" s="82" t="s">
        <v>215</v>
      </c>
      <c r="G256" s="77" t="s">
        <v>172</v>
      </c>
      <c r="H256" s="83">
        <v>0</v>
      </c>
      <c r="I256" s="84">
        <v>0</v>
      </c>
      <c r="J256" s="84">
        <v>0</v>
      </c>
      <c r="K256" s="83">
        <v>440290</v>
      </c>
      <c r="L256" s="83" t="e">
        <f t="shared" ref="L256:L270" si="53">K256/H256*100</f>
        <v>#DIV/0!</v>
      </c>
      <c r="M256" s="83" t="e">
        <f t="shared" si="45"/>
        <v>#DIV/0!</v>
      </c>
      <c r="N256" s="85">
        <f t="shared" ref="N256:N295" si="54">K256/K$390</f>
        <v>2.753527947911549E-2</v>
      </c>
    </row>
    <row r="257" spans="1:14" ht="16.5" customHeight="1">
      <c r="A257" s="72" t="s">
        <v>505</v>
      </c>
      <c r="B257" s="72" t="s">
        <v>167</v>
      </c>
      <c r="C257" s="72" t="s">
        <v>169</v>
      </c>
      <c r="D257" s="87" t="s">
        <v>121</v>
      </c>
      <c r="E257" s="76">
        <v>611111</v>
      </c>
      <c r="F257" s="82" t="s">
        <v>215</v>
      </c>
      <c r="G257" s="77" t="s">
        <v>307</v>
      </c>
      <c r="H257" s="83">
        <v>397700</v>
      </c>
      <c r="I257" s="84">
        <v>267467.7</v>
      </c>
      <c r="J257" s="84">
        <v>358833</v>
      </c>
      <c r="K257" s="83">
        <v>0</v>
      </c>
      <c r="L257" s="83">
        <f t="shared" si="53"/>
        <v>0</v>
      </c>
      <c r="M257" s="83">
        <f t="shared" si="45"/>
        <v>0</v>
      </c>
      <c r="N257" s="85">
        <f t="shared" si="54"/>
        <v>0</v>
      </c>
    </row>
    <row r="258" spans="1:14" ht="15" customHeight="1">
      <c r="A258" s="72" t="s">
        <v>505</v>
      </c>
      <c r="B258" s="72" t="s">
        <v>167</v>
      </c>
      <c r="C258" s="72" t="s">
        <v>169</v>
      </c>
      <c r="D258" s="87" t="s">
        <v>121</v>
      </c>
      <c r="E258" s="76">
        <v>611130</v>
      </c>
      <c r="F258" s="82" t="s">
        <v>215</v>
      </c>
      <c r="G258" s="77" t="s">
        <v>308</v>
      </c>
      <c r="H258" s="83">
        <v>0</v>
      </c>
      <c r="I258" s="84">
        <v>0</v>
      </c>
      <c r="J258" s="84">
        <v>0</v>
      </c>
      <c r="K258" s="83">
        <v>197820</v>
      </c>
      <c r="L258" s="83" t="e">
        <f t="shared" si="53"/>
        <v>#DIV/0!</v>
      </c>
      <c r="M258" s="83" t="e">
        <f t="shared" si="45"/>
        <v>#DIV/0!</v>
      </c>
      <c r="N258" s="85">
        <f t="shared" si="54"/>
        <v>1.2371457417971396E-2</v>
      </c>
    </row>
    <row r="259" spans="1:14" ht="15" customHeight="1">
      <c r="A259" s="72" t="s">
        <v>505</v>
      </c>
      <c r="B259" s="72" t="s">
        <v>167</v>
      </c>
      <c r="C259" s="72" t="s">
        <v>169</v>
      </c>
      <c r="D259" s="87" t="s">
        <v>121</v>
      </c>
      <c r="E259" s="76">
        <v>611131</v>
      </c>
      <c r="F259" s="82" t="s">
        <v>215</v>
      </c>
      <c r="G259" s="77" t="s">
        <v>309</v>
      </c>
      <c r="H259" s="83">
        <v>178677</v>
      </c>
      <c r="I259" s="84">
        <v>121642.03</v>
      </c>
      <c r="J259" s="84">
        <v>161224</v>
      </c>
      <c r="K259" s="83">
        <v>0</v>
      </c>
      <c r="L259" s="83">
        <f t="shared" si="53"/>
        <v>0</v>
      </c>
      <c r="M259" s="83">
        <f t="shared" si="45"/>
        <v>0</v>
      </c>
      <c r="N259" s="85">
        <f t="shared" si="54"/>
        <v>0</v>
      </c>
    </row>
    <row r="260" spans="1:14" ht="15" customHeight="1">
      <c r="A260" s="72" t="s">
        <v>505</v>
      </c>
      <c r="B260" s="72" t="s">
        <v>167</v>
      </c>
      <c r="C260" s="72" t="s">
        <v>169</v>
      </c>
      <c r="D260" s="87" t="s">
        <v>121</v>
      </c>
      <c r="E260" s="76">
        <v>611211</v>
      </c>
      <c r="F260" s="82" t="s">
        <v>215</v>
      </c>
      <c r="G260" s="77" t="s">
        <v>310</v>
      </c>
      <c r="H260" s="83">
        <v>25200</v>
      </c>
      <c r="I260" s="84">
        <v>15607.03</v>
      </c>
      <c r="J260" s="335">
        <v>21800</v>
      </c>
      <c r="K260" s="333">
        <v>25000</v>
      </c>
      <c r="L260" s="83">
        <f t="shared" si="53"/>
        <v>99.206349206349216</v>
      </c>
      <c r="M260" s="83">
        <f t="shared" si="45"/>
        <v>1.1467889908256881</v>
      </c>
      <c r="N260" s="85">
        <f t="shared" si="54"/>
        <v>1.5634740443296173E-3</v>
      </c>
    </row>
    <row r="261" spans="1:14" ht="15" customHeight="1">
      <c r="A261" s="72" t="s">
        <v>505</v>
      </c>
      <c r="B261" s="72" t="s">
        <v>167</v>
      </c>
      <c r="C261" s="72" t="s">
        <v>169</v>
      </c>
      <c r="D261" s="87" t="s">
        <v>121</v>
      </c>
      <c r="E261" s="76">
        <v>611221</v>
      </c>
      <c r="F261" s="82" t="s">
        <v>215</v>
      </c>
      <c r="G261" s="77" t="s">
        <v>289</v>
      </c>
      <c r="H261" s="83">
        <v>76032</v>
      </c>
      <c r="I261" s="84">
        <v>48079.79</v>
      </c>
      <c r="J261" s="84">
        <v>62334</v>
      </c>
      <c r="K261" s="83">
        <v>82370</v>
      </c>
      <c r="L261" s="83">
        <f t="shared" si="53"/>
        <v>108.3359638047138</v>
      </c>
      <c r="M261" s="83">
        <f t="shared" ref="M261:M325" si="55">K261/J261</f>
        <v>1.3214297173292264</v>
      </c>
      <c r="N261" s="85">
        <f t="shared" si="54"/>
        <v>5.1513342812572228E-3</v>
      </c>
    </row>
    <row r="262" spans="1:14" ht="13.5" customHeight="1">
      <c r="A262" s="72" t="s">
        <v>505</v>
      </c>
      <c r="B262" s="72" t="s">
        <v>167</v>
      </c>
      <c r="C262" s="72" t="s">
        <v>169</v>
      </c>
      <c r="D262" s="87" t="s">
        <v>121</v>
      </c>
      <c r="E262" s="76">
        <v>611224</v>
      </c>
      <c r="F262" s="82" t="s">
        <v>215</v>
      </c>
      <c r="G262" s="77" t="s">
        <v>75</v>
      </c>
      <c r="H262" s="83">
        <v>14400</v>
      </c>
      <c r="I262" s="84">
        <v>13800</v>
      </c>
      <c r="J262" s="84">
        <v>13800</v>
      </c>
      <c r="K262" s="83">
        <v>15600</v>
      </c>
      <c r="L262" s="83">
        <f t="shared" si="53"/>
        <v>108.33333333333333</v>
      </c>
      <c r="M262" s="83">
        <f t="shared" si="55"/>
        <v>1.1304347826086956</v>
      </c>
      <c r="N262" s="85">
        <f t="shared" si="54"/>
        <v>9.7560780366168123E-4</v>
      </c>
    </row>
    <row r="263" spans="1:14" ht="15" customHeight="1">
      <c r="A263" s="72" t="s">
        <v>505</v>
      </c>
      <c r="B263" s="72" t="s">
        <v>167</v>
      </c>
      <c r="C263" s="72" t="s">
        <v>169</v>
      </c>
      <c r="D263" s="87" t="s">
        <v>121</v>
      </c>
      <c r="E263" s="76">
        <v>611225</v>
      </c>
      <c r="F263" s="82" t="s">
        <v>215</v>
      </c>
      <c r="G263" s="77" t="s">
        <v>179</v>
      </c>
      <c r="H263" s="83">
        <v>8400</v>
      </c>
      <c r="I263" s="84">
        <v>6187.93</v>
      </c>
      <c r="J263" s="84">
        <v>8400</v>
      </c>
      <c r="K263" s="83">
        <v>6600</v>
      </c>
      <c r="L263" s="83">
        <f t="shared" si="53"/>
        <v>78.571428571428569</v>
      </c>
      <c r="M263" s="83">
        <f t="shared" si="55"/>
        <v>0.7857142857142857</v>
      </c>
      <c r="N263" s="85">
        <f t="shared" si="54"/>
        <v>4.1275714770301896E-4</v>
      </c>
    </row>
    <row r="264" spans="1:14" ht="15" customHeight="1">
      <c r="A264" s="72" t="s">
        <v>505</v>
      </c>
      <c r="B264" s="72" t="s">
        <v>167</v>
      </c>
      <c r="C264" s="72" t="s">
        <v>169</v>
      </c>
      <c r="D264" s="87" t="s">
        <v>121</v>
      </c>
      <c r="E264" s="76">
        <v>611227</v>
      </c>
      <c r="F264" s="82" t="s">
        <v>215</v>
      </c>
      <c r="G264" s="77" t="s">
        <v>291</v>
      </c>
      <c r="H264" s="83">
        <v>3400</v>
      </c>
      <c r="I264" s="84">
        <v>2530</v>
      </c>
      <c r="J264" s="84">
        <v>3400</v>
      </c>
      <c r="K264" s="83">
        <v>3400</v>
      </c>
      <c r="L264" s="83">
        <f t="shared" si="53"/>
        <v>100</v>
      </c>
      <c r="M264" s="83">
        <f t="shared" si="55"/>
        <v>1</v>
      </c>
      <c r="N264" s="85">
        <f t="shared" si="54"/>
        <v>2.1263247002882796E-4</v>
      </c>
    </row>
    <row r="265" spans="1:14" ht="15" customHeight="1">
      <c r="A265" s="72" t="s">
        <v>505</v>
      </c>
      <c r="B265" s="72" t="s">
        <v>167</v>
      </c>
      <c r="C265" s="72" t="s">
        <v>169</v>
      </c>
      <c r="D265" s="87" t="s">
        <v>121</v>
      </c>
      <c r="E265" s="76">
        <v>611228</v>
      </c>
      <c r="F265" s="82" t="s">
        <v>215</v>
      </c>
      <c r="G265" s="77" t="s">
        <v>402</v>
      </c>
      <c r="H265" s="83">
        <v>1800</v>
      </c>
      <c r="I265" s="84">
        <v>0</v>
      </c>
      <c r="J265" s="84">
        <v>1800</v>
      </c>
      <c r="K265" s="83">
        <v>1800</v>
      </c>
      <c r="L265" s="83">
        <f t="shared" ref="L265" si="56">K265/H265*100</f>
        <v>100</v>
      </c>
      <c r="M265" s="83">
        <f t="shared" si="55"/>
        <v>1</v>
      </c>
      <c r="N265" s="85">
        <f t="shared" si="54"/>
        <v>1.1257013119173245E-4</v>
      </c>
    </row>
    <row r="266" spans="1:14" ht="14.25" customHeight="1">
      <c r="A266" s="72" t="s">
        <v>505</v>
      </c>
      <c r="B266" s="72" t="s">
        <v>167</v>
      </c>
      <c r="C266" s="72" t="s">
        <v>169</v>
      </c>
      <c r="D266" s="87" t="s">
        <v>121</v>
      </c>
      <c r="E266" s="76">
        <v>612110</v>
      </c>
      <c r="F266" s="82" t="s">
        <v>215</v>
      </c>
      <c r="G266" s="77" t="s">
        <v>292</v>
      </c>
      <c r="H266" s="83">
        <v>0</v>
      </c>
      <c r="I266" s="84">
        <v>0</v>
      </c>
      <c r="J266" s="84">
        <v>0</v>
      </c>
      <c r="K266" s="83">
        <v>67000</v>
      </c>
      <c r="L266" s="83" t="e">
        <f t="shared" si="53"/>
        <v>#DIV/0!</v>
      </c>
      <c r="M266" s="83" t="e">
        <f t="shared" si="55"/>
        <v>#DIV/0!</v>
      </c>
      <c r="N266" s="85">
        <f t="shared" si="54"/>
        <v>4.1901104388033742E-3</v>
      </c>
    </row>
    <row r="267" spans="1:14" ht="15" customHeight="1">
      <c r="A267" s="72" t="s">
        <v>505</v>
      </c>
      <c r="B267" s="72" t="s">
        <v>167</v>
      </c>
      <c r="C267" s="72" t="s">
        <v>169</v>
      </c>
      <c r="D267" s="87" t="s">
        <v>121</v>
      </c>
      <c r="E267" s="76">
        <v>612211</v>
      </c>
      <c r="F267" s="82" t="s">
        <v>215</v>
      </c>
      <c r="G267" s="86" t="s">
        <v>77</v>
      </c>
      <c r="H267" s="83">
        <v>65679</v>
      </c>
      <c r="I267" s="84">
        <v>45257.05</v>
      </c>
      <c r="J267" s="84">
        <v>54606</v>
      </c>
      <c r="K267" s="83">
        <v>0</v>
      </c>
      <c r="L267" s="83">
        <f t="shared" si="53"/>
        <v>0</v>
      </c>
      <c r="M267" s="83">
        <f t="shared" si="55"/>
        <v>0</v>
      </c>
      <c r="N267" s="85">
        <f t="shared" si="54"/>
        <v>0</v>
      </c>
    </row>
    <row r="268" spans="1:14" ht="14.25" customHeight="1">
      <c r="A268" s="72" t="s">
        <v>505</v>
      </c>
      <c r="B268" s="72" t="s">
        <v>167</v>
      </c>
      <c r="C268" s="72" t="s">
        <v>169</v>
      </c>
      <c r="D268" s="87" t="s">
        <v>121</v>
      </c>
      <c r="E268" s="76">
        <v>613115</v>
      </c>
      <c r="F268" s="82" t="s">
        <v>215</v>
      </c>
      <c r="G268" s="77" t="s">
        <v>297</v>
      </c>
      <c r="H268" s="83">
        <v>500</v>
      </c>
      <c r="I268" s="84">
        <v>25</v>
      </c>
      <c r="J268" s="84">
        <v>500</v>
      </c>
      <c r="K268" s="83">
        <v>500</v>
      </c>
      <c r="L268" s="83">
        <f t="shared" si="53"/>
        <v>100</v>
      </c>
      <c r="M268" s="83">
        <f t="shared" si="55"/>
        <v>1</v>
      </c>
      <c r="N268" s="85">
        <f t="shared" si="54"/>
        <v>3.1269480886592348E-5</v>
      </c>
    </row>
    <row r="269" spans="1:14" ht="15" customHeight="1">
      <c r="A269" s="72" t="s">
        <v>505</v>
      </c>
      <c r="B269" s="72" t="s">
        <v>167</v>
      </c>
      <c r="C269" s="72" t="s">
        <v>169</v>
      </c>
      <c r="D269" s="87" t="s">
        <v>121</v>
      </c>
      <c r="E269" s="81">
        <v>613314</v>
      </c>
      <c r="F269" s="82" t="s">
        <v>215</v>
      </c>
      <c r="G269" s="77" t="s">
        <v>427</v>
      </c>
      <c r="H269" s="83">
        <v>18000</v>
      </c>
      <c r="I269" s="84">
        <v>10552.4</v>
      </c>
      <c r="J269" s="84">
        <v>18000</v>
      </c>
      <c r="K269" s="83">
        <v>18000</v>
      </c>
      <c r="L269" s="83">
        <f t="shared" ref="L269" si="57">K269/H269*100</f>
        <v>100</v>
      </c>
      <c r="M269" s="83">
        <f t="shared" si="55"/>
        <v>1</v>
      </c>
      <c r="N269" s="85">
        <f t="shared" si="54"/>
        <v>1.1257013119173244E-3</v>
      </c>
    </row>
    <row r="270" spans="1:14" ht="15" customHeight="1">
      <c r="A270" s="72" t="s">
        <v>505</v>
      </c>
      <c r="B270" s="72" t="s">
        <v>167</v>
      </c>
      <c r="C270" s="72" t="s">
        <v>169</v>
      </c>
      <c r="D270" s="87" t="s">
        <v>121</v>
      </c>
      <c r="E270" s="81">
        <v>613417</v>
      </c>
      <c r="F270" s="82" t="s">
        <v>215</v>
      </c>
      <c r="G270" s="77" t="s">
        <v>86</v>
      </c>
      <c r="H270" s="83">
        <v>25000</v>
      </c>
      <c r="I270" s="84">
        <v>22384.37</v>
      </c>
      <c r="J270" s="84">
        <v>25000</v>
      </c>
      <c r="K270" s="83">
        <v>25000</v>
      </c>
      <c r="L270" s="83">
        <f t="shared" si="53"/>
        <v>100</v>
      </c>
      <c r="M270" s="83">
        <f t="shared" si="55"/>
        <v>1</v>
      </c>
      <c r="N270" s="85">
        <f t="shared" si="54"/>
        <v>1.5634740443296173E-3</v>
      </c>
    </row>
    <row r="271" spans="1:14" ht="17.25" customHeight="1">
      <c r="A271" s="72" t="s">
        <v>505</v>
      </c>
      <c r="B271" s="72" t="s">
        <v>167</v>
      </c>
      <c r="C271" s="72" t="s">
        <v>169</v>
      </c>
      <c r="D271" s="87" t="s">
        <v>121</v>
      </c>
      <c r="E271" s="81">
        <v>613427</v>
      </c>
      <c r="F271" s="82" t="s">
        <v>215</v>
      </c>
      <c r="G271" s="77" t="s">
        <v>428</v>
      </c>
      <c r="H271" s="83">
        <v>1000</v>
      </c>
      <c r="I271" s="84">
        <v>0</v>
      </c>
      <c r="J271" s="84">
        <v>1000</v>
      </c>
      <c r="K271" s="83">
        <v>1000</v>
      </c>
      <c r="L271" s="83">
        <f t="shared" si="52"/>
        <v>100</v>
      </c>
      <c r="M271" s="83">
        <f t="shared" si="55"/>
        <v>1</v>
      </c>
      <c r="N271" s="85">
        <f t="shared" si="54"/>
        <v>6.2538961773184697E-5</v>
      </c>
    </row>
    <row r="272" spans="1:14" ht="14.25" customHeight="1">
      <c r="A272" s="72" t="s">
        <v>505</v>
      </c>
      <c r="B272" s="72" t="s">
        <v>167</v>
      </c>
      <c r="C272" s="72" t="s">
        <v>169</v>
      </c>
      <c r="D272" s="87" t="s">
        <v>121</v>
      </c>
      <c r="E272" s="81">
        <v>613484</v>
      </c>
      <c r="F272" s="82" t="s">
        <v>215</v>
      </c>
      <c r="G272" s="77" t="s">
        <v>87</v>
      </c>
      <c r="H272" s="83">
        <v>6000</v>
      </c>
      <c r="I272" s="84">
        <v>4513.45</v>
      </c>
      <c r="J272" s="84">
        <v>4513.45</v>
      </c>
      <c r="K272" s="83">
        <v>6000</v>
      </c>
      <c r="L272" s="83">
        <f t="shared" si="52"/>
        <v>100</v>
      </c>
      <c r="M272" s="83">
        <f t="shared" si="55"/>
        <v>1.3293600239284804</v>
      </c>
      <c r="N272" s="85">
        <f t="shared" si="54"/>
        <v>3.7523377063910818E-4</v>
      </c>
    </row>
    <row r="273" spans="1:14" ht="14.25" customHeight="1">
      <c r="A273" s="72" t="s">
        <v>505</v>
      </c>
      <c r="B273" s="72" t="s">
        <v>167</v>
      </c>
      <c r="C273" s="72" t="s">
        <v>169</v>
      </c>
      <c r="D273" s="87" t="s">
        <v>506</v>
      </c>
      <c r="E273" s="81">
        <v>613419</v>
      </c>
      <c r="F273" s="82" t="s">
        <v>215</v>
      </c>
      <c r="G273" s="144" t="s">
        <v>433</v>
      </c>
      <c r="H273" s="83">
        <v>8780</v>
      </c>
      <c r="I273" s="84">
        <v>0</v>
      </c>
      <c r="J273" s="84">
        <v>8780</v>
      </c>
      <c r="K273" s="146">
        <v>3901</v>
      </c>
      <c r="L273" s="83">
        <f t="shared" si="52"/>
        <v>44.430523917995444</v>
      </c>
      <c r="M273" s="83">
        <f t="shared" si="55"/>
        <v>0.44430523917995446</v>
      </c>
      <c r="N273" s="85">
        <f t="shared" si="54"/>
        <v>2.439644898771935E-4</v>
      </c>
    </row>
    <row r="274" spans="1:14" ht="14.25" customHeight="1">
      <c r="A274" s="72" t="s">
        <v>505</v>
      </c>
      <c r="B274" s="72" t="s">
        <v>167</v>
      </c>
      <c r="C274" s="72" t="s">
        <v>169</v>
      </c>
      <c r="D274" s="87" t="s">
        <v>121</v>
      </c>
      <c r="E274" s="81">
        <v>613481</v>
      </c>
      <c r="F274" s="82" t="s">
        <v>215</v>
      </c>
      <c r="G274" s="77" t="s">
        <v>434</v>
      </c>
      <c r="H274" s="83">
        <v>4500</v>
      </c>
      <c r="I274" s="84">
        <v>4428.67</v>
      </c>
      <c r="J274" s="84">
        <v>4500</v>
      </c>
      <c r="K274" s="83">
        <v>0</v>
      </c>
      <c r="L274" s="83">
        <f t="shared" si="52"/>
        <v>0</v>
      </c>
      <c r="M274" s="83">
        <f t="shared" si="55"/>
        <v>0</v>
      </c>
      <c r="N274" s="85">
        <f t="shared" si="54"/>
        <v>0</v>
      </c>
    </row>
    <row r="275" spans="1:14" ht="16.5" customHeight="1">
      <c r="A275" s="72" t="s">
        <v>505</v>
      </c>
      <c r="B275" s="72" t="s">
        <v>167</v>
      </c>
      <c r="C275" s="72" t="s">
        <v>169</v>
      </c>
      <c r="D275" s="87" t="s">
        <v>121</v>
      </c>
      <c r="E275" s="81">
        <v>613611</v>
      </c>
      <c r="F275" s="82" t="s">
        <v>215</v>
      </c>
      <c r="G275" s="77" t="s">
        <v>429</v>
      </c>
      <c r="H275" s="83">
        <v>5000</v>
      </c>
      <c r="I275" s="84">
        <v>0</v>
      </c>
      <c r="J275" s="84">
        <v>5000</v>
      </c>
      <c r="K275" s="83">
        <v>5000</v>
      </c>
      <c r="L275" s="83">
        <f t="shared" si="52"/>
        <v>100</v>
      </c>
      <c r="M275" s="83">
        <f t="shared" si="55"/>
        <v>1</v>
      </c>
      <c r="N275" s="85">
        <f t="shared" si="54"/>
        <v>3.1269480886592348E-4</v>
      </c>
    </row>
    <row r="276" spans="1:14" ht="15.75" customHeight="1">
      <c r="A276" s="72" t="s">
        <v>505</v>
      </c>
      <c r="B276" s="72" t="s">
        <v>167</v>
      </c>
      <c r="C276" s="72" t="s">
        <v>169</v>
      </c>
      <c r="D276" s="87" t="s">
        <v>121</v>
      </c>
      <c r="E276" s="81">
        <v>613814</v>
      </c>
      <c r="F276" s="82" t="s">
        <v>215</v>
      </c>
      <c r="G276" s="77" t="s">
        <v>299</v>
      </c>
      <c r="H276" s="83">
        <v>1680</v>
      </c>
      <c r="I276" s="84">
        <v>1306.2</v>
      </c>
      <c r="J276" s="84">
        <v>1306.2</v>
      </c>
      <c r="K276" s="83">
        <v>1680</v>
      </c>
      <c r="L276" s="83">
        <f t="shared" si="52"/>
        <v>100</v>
      </c>
      <c r="M276" s="83">
        <f t="shared" si="55"/>
        <v>1.2861736334405145</v>
      </c>
      <c r="N276" s="85">
        <f t="shared" si="54"/>
        <v>1.0506545577895029E-4</v>
      </c>
    </row>
    <row r="277" spans="1:14" ht="15.75" customHeight="1">
      <c r="A277" s="72" t="s">
        <v>505</v>
      </c>
      <c r="B277" s="72" t="s">
        <v>167</v>
      </c>
      <c r="C277" s="72" t="s">
        <v>169</v>
      </c>
      <c r="D277" s="87" t="s">
        <v>121</v>
      </c>
      <c r="E277" s="81">
        <v>613914</v>
      </c>
      <c r="F277" s="82" t="s">
        <v>215</v>
      </c>
      <c r="G277" s="77" t="s">
        <v>96</v>
      </c>
      <c r="H277" s="83">
        <v>1000</v>
      </c>
      <c r="I277" s="84">
        <v>688</v>
      </c>
      <c r="J277" s="84">
        <v>1000</v>
      </c>
      <c r="K277" s="83">
        <v>1000</v>
      </c>
      <c r="L277" s="83">
        <f t="shared" si="52"/>
        <v>100</v>
      </c>
      <c r="M277" s="83">
        <f t="shared" si="55"/>
        <v>1</v>
      </c>
      <c r="N277" s="85">
        <f t="shared" si="54"/>
        <v>6.2538961773184697E-5</v>
      </c>
    </row>
    <row r="278" spans="1:14" ht="16.5" customHeight="1">
      <c r="A278" s="72" t="s">
        <v>505</v>
      </c>
      <c r="B278" s="72" t="s">
        <v>167</v>
      </c>
      <c r="C278" s="72" t="s">
        <v>169</v>
      </c>
      <c r="D278" s="87" t="s">
        <v>506</v>
      </c>
      <c r="E278" s="81">
        <v>613922</v>
      </c>
      <c r="F278" s="82" t="s">
        <v>215</v>
      </c>
      <c r="G278" s="77" t="s">
        <v>430</v>
      </c>
      <c r="H278" s="83">
        <v>5000</v>
      </c>
      <c r="I278" s="84">
        <v>936</v>
      </c>
      <c r="J278" s="84">
        <v>5000</v>
      </c>
      <c r="K278" s="83">
        <v>5000</v>
      </c>
      <c r="L278" s="83">
        <f t="shared" si="52"/>
        <v>100</v>
      </c>
      <c r="M278" s="83">
        <f t="shared" si="55"/>
        <v>1</v>
      </c>
      <c r="N278" s="85">
        <f t="shared" si="54"/>
        <v>3.1269480886592348E-4</v>
      </c>
    </row>
    <row r="279" spans="1:14" ht="15" customHeight="1">
      <c r="A279" s="72" t="s">
        <v>505</v>
      </c>
      <c r="B279" s="72" t="s">
        <v>167</v>
      </c>
      <c r="C279" s="72" t="s">
        <v>169</v>
      </c>
      <c r="D279" s="87" t="s">
        <v>152</v>
      </c>
      <c r="E279" s="81">
        <v>613927</v>
      </c>
      <c r="F279" s="82" t="s">
        <v>215</v>
      </c>
      <c r="G279" s="77" t="s">
        <v>431</v>
      </c>
      <c r="H279" s="83">
        <v>25000</v>
      </c>
      <c r="I279" s="84">
        <v>23723.94</v>
      </c>
      <c r="J279" s="84">
        <v>25000</v>
      </c>
      <c r="K279" s="83">
        <v>25000</v>
      </c>
      <c r="L279" s="83">
        <f t="shared" ref="L279" si="58">K279/H279*100</f>
        <v>100</v>
      </c>
      <c r="M279" s="83">
        <f t="shared" si="55"/>
        <v>1</v>
      </c>
      <c r="N279" s="85">
        <f t="shared" si="54"/>
        <v>1.5634740443296173E-3</v>
      </c>
    </row>
    <row r="280" spans="1:14" ht="13.5" customHeight="1">
      <c r="A280" s="72" t="s">
        <v>505</v>
      </c>
      <c r="B280" s="72" t="s">
        <v>167</v>
      </c>
      <c r="C280" s="72" t="s">
        <v>169</v>
      </c>
      <c r="D280" s="87" t="s">
        <v>121</v>
      </c>
      <c r="E280" s="81">
        <v>614117</v>
      </c>
      <c r="F280" s="82" t="s">
        <v>215</v>
      </c>
      <c r="G280" s="77" t="s">
        <v>432</v>
      </c>
      <c r="H280" s="83">
        <v>77000</v>
      </c>
      <c r="I280" s="84">
        <v>35910</v>
      </c>
      <c r="J280" s="84">
        <v>77000</v>
      </c>
      <c r="K280" s="83">
        <v>77000</v>
      </c>
      <c r="L280" s="83">
        <f t="shared" si="52"/>
        <v>100</v>
      </c>
      <c r="M280" s="83">
        <f t="shared" si="55"/>
        <v>1</v>
      </c>
      <c r="N280" s="85">
        <f t="shared" si="54"/>
        <v>4.8155000565352213E-3</v>
      </c>
    </row>
    <row r="281" spans="1:14" ht="15" customHeight="1">
      <c r="A281" s="72" t="s">
        <v>505</v>
      </c>
      <c r="B281" s="72" t="s">
        <v>167</v>
      </c>
      <c r="C281" s="72" t="s">
        <v>169</v>
      </c>
      <c r="D281" s="87" t="s">
        <v>506</v>
      </c>
      <c r="E281" s="81">
        <v>614125</v>
      </c>
      <c r="F281" s="82" t="s">
        <v>215</v>
      </c>
      <c r="G281" s="77" t="s">
        <v>435</v>
      </c>
      <c r="H281" s="83">
        <v>42000</v>
      </c>
      <c r="I281" s="84">
        <v>35546</v>
      </c>
      <c r="J281" s="84">
        <v>42000</v>
      </c>
      <c r="K281" s="83">
        <v>42000</v>
      </c>
      <c r="L281" s="83">
        <f t="shared" si="52"/>
        <v>100</v>
      </c>
      <c r="M281" s="83">
        <f t="shared" si="55"/>
        <v>1</v>
      </c>
      <c r="N281" s="85">
        <f t="shared" si="54"/>
        <v>2.6266363944737569E-3</v>
      </c>
    </row>
    <row r="282" spans="1:14" ht="15" customHeight="1">
      <c r="A282" s="72" t="s">
        <v>505</v>
      </c>
      <c r="B282" s="72" t="s">
        <v>167</v>
      </c>
      <c r="C282" s="72" t="s">
        <v>169</v>
      </c>
      <c r="D282" s="87" t="s">
        <v>156</v>
      </c>
      <c r="E282" s="81">
        <v>614229</v>
      </c>
      <c r="F282" s="82" t="s">
        <v>215</v>
      </c>
      <c r="G282" s="77" t="s">
        <v>436</v>
      </c>
      <c r="H282" s="83">
        <v>0</v>
      </c>
      <c r="I282" s="84">
        <v>0</v>
      </c>
      <c r="J282" s="84">
        <v>0</v>
      </c>
      <c r="K282" s="83">
        <v>30000</v>
      </c>
      <c r="L282" s="83" t="e">
        <f t="shared" ref="L282" si="59">K282/H282*100</f>
        <v>#DIV/0!</v>
      </c>
      <c r="M282" s="83" t="e">
        <f t="shared" si="55"/>
        <v>#DIV/0!</v>
      </c>
      <c r="N282" s="85">
        <f t="shared" si="54"/>
        <v>1.8761688531955408E-3</v>
      </c>
    </row>
    <row r="283" spans="1:14" ht="23.25" customHeight="1">
      <c r="A283" s="72" t="s">
        <v>505</v>
      </c>
      <c r="B283" s="72" t="s">
        <v>167</v>
      </c>
      <c r="C283" s="72" t="s">
        <v>169</v>
      </c>
      <c r="D283" s="87" t="s">
        <v>156</v>
      </c>
      <c r="E283" s="81">
        <v>614231</v>
      </c>
      <c r="F283" s="82" t="s">
        <v>215</v>
      </c>
      <c r="G283" s="86" t="s">
        <v>592</v>
      </c>
      <c r="H283" s="83">
        <v>1000</v>
      </c>
      <c r="I283" s="84">
        <v>578.33000000000004</v>
      </c>
      <c r="J283" s="84">
        <v>1000</v>
      </c>
      <c r="K283" s="83">
        <v>1000</v>
      </c>
      <c r="L283" s="83">
        <f t="shared" si="52"/>
        <v>100</v>
      </c>
      <c r="M283" s="83">
        <f t="shared" si="55"/>
        <v>1</v>
      </c>
      <c r="N283" s="85">
        <f t="shared" si="54"/>
        <v>6.2538961773184697E-5</v>
      </c>
    </row>
    <row r="284" spans="1:14" ht="24" customHeight="1">
      <c r="A284" s="72" t="s">
        <v>505</v>
      </c>
      <c r="B284" s="72" t="s">
        <v>167</v>
      </c>
      <c r="C284" s="72" t="s">
        <v>169</v>
      </c>
      <c r="D284" s="87" t="s">
        <v>158</v>
      </c>
      <c r="E284" s="81">
        <v>614232</v>
      </c>
      <c r="F284" s="82" t="s">
        <v>215</v>
      </c>
      <c r="G284" s="86" t="s">
        <v>593</v>
      </c>
      <c r="H284" s="83">
        <v>30000</v>
      </c>
      <c r="I284" s="84">
        <v>20750</v>
      </c>
      <c r="J284" s="84">
        <v>30000</v>
      </c>
      <c r="K284" s="83">
        <v>30000</v>
      </c>
      <c r="L284" s="83">
        <f t="shared" si="52"/>
        <v>100</v>
      </c>
      <c r="M284" s="83">
        <f t="shared" si="55"/>
        <v>1</v>
      </c>
      <c r="N284" s="85">
        <f t="shared" si="54"/>
        <v>1.8761688531955408E-3</v>
      </c>
    </row>
    <row r="285" spans="1:14" ht="15" customHeight="1">
      <c r="A285" s="72" t="s">
        <v>505</v>
      </c>
      <c r="B285" s="72" t="s">
        <v>167</v>
      </c>
      <c r="C285" s="72" t="s">
        <v>169</v>
      </c>
      <c r="D285" s="87" t="s">
        <v>156</v>
      </c>
      <c r="E285" s="81">
        <v>614232</v>
      </c>
      <c r="F285" s="82" t="s">
        <v>215</v>
      </c>
      <c r="G285" s="77" t="s">
        <v>436</v>
      </c>
      <c r="H285" s="83">
        <v>30000</v>
      </c>
      <c r="I285" s="84">
        <v>0</v>
      </c>
      <c r="J285" s="84">
        <v>30000</v>
      </c>
      <c r="K285" s="83">
        <v>0</v>
      </c>
      <c r="L285" s="83">
        <f t="shared" si="52"/>
        <v>0</v>
      </c>
      <c r="M285" s="83">
        <f t="shared" si="55"/>
        <v>0</v>
      </c>
      <c r="N285" s="85">
        <f t="shared" si="54"/>
        <v>0</v>
      </c>
    </row>
    <row r="286" spans="1:14" ht="16.5" customHeight="1">
      <c r="A286" s="72" t="s">
        <v>505</v>
      </c>
      <c r="B286" s="72" t="s">
        <v>167</v>
      </c>
      <c r="C286" s="72" t="s">
        <v>169</v>
      </c>
      <c r="D286" s="87" t="s">
        <v>160</v>
      </c>
      <c r="E286" s="81">
        <v>614233</v>
      </c>
      <c r="F286" s="82" t="s">
        <v>215</v>
      </c>
      <c r="G286" s="77" t="s">
        <v>437</v>
      </c>
      <c r="H286" s="83">
        <v>20000</v>
      </c>
      <c r="I286" s="84">
        <v>3040</v>
      </c>
      <c r="J286" s="84">
        <v>20000</v>
      </c>
      <c r="K286" s="83">
        <v>30000</v>
      </c>
      <c r="L286" s="83">
        <f t="shared" si="52"/>
        <v>150</v>
      </c>
      <c r="M286" s="83">
        <f t="shared" si="55"/>
        <v>1.5</v>
      </c>
      <c r="N286" s="85">
        <f t="shared" si="54"/>
        <v>1.8761688531955408E-3</v>
      </c>
    </row>
    <row r="287" spans="1:14" ht="16.5" customHeight="1">
      <c r="A287" s="72" t="s">
        <v>505</v>
      </c>
      <c r="B287" s="72" t="s">
        <v>167</v>
      </c>
      <c r="C287" s="72" t="s">
        <v>169</v>
      </c>
      <c r="D287" s="87" t="s">
        <v>160</v>
      </c>
      <c r="E287" s="81">
        <v>614233</v>
      </c>
      <c r="F287" s="82" t="s">
        <v>215</v>
      </c>
      <c r="G287" s="77" t="s">
        <v>438</v>
      </c>
      <c r="H287" s="83">
        <v>10000</v>
      </c>
      <c r="I287" s="84">
        <v>0</v>
      </c>
      <c r="J287" s="84">
        <v>10000</v>
      </c>
      <c r="K287" s="83">
        <v>20000</v>
      </c>
      <c r="L287" s="83">
        <f t="shared" si="52"/>
        <v>200</v>
      </c>
      <c r="M287" s="83">
        <f t="shared" si="55"/>
        <v>2</v>
      </c>
      <c r="N287" s="85">
        <f t="shared" si="54"/>
        <v>1.2507792354636939E-3</v>
      </c>
    </row>
    <row r="288" spans="1:14" ht="16.5" customHeight="1">
      <c r="A288" s="72" t="s">
        <v>505</v>
      </c>
      <c r="B288" s="72" t="s">
        <v>167</v>
      </c>
      <c r="C288" s="72" t="s">
        <v>169</v>
      </c>
      <c r="D288" s="87" t="s">
        <v>160</v>
      </c>
      <c r="E288" s="81">
        <v>614233</v>
      </c>
      <c r="F288" s="82" t="s">
        <v>215</v>
      </c>
      <c r="G288" s="77" t="s">
        <v>439</v>
      </c>
      <c r="H288" s="83">
        <v>6000</v>
      </c>
      <c r="I288" s="84">
        <v>0</v>
      </c>
      <c r="J288" s="84">
        <v>6000</v>
      </c>
      <c r="K288" s="83">
        <v>6000</v>
      </c>
      <c r="L288" s="83">
        <f t="shared" si="52"/>
        <v>100</v>
      </c>
      <c r="M288" s="83">
        <f t="shared" si="55"/>
        <v>1</v>
      </c>
      <c r="N288" s="85">
        <f t="shared" si="54"/>
        <v>3.7523377063910818E-4</v>
      </c>
    </row>
    <row r="289" spans="1:14" ht="25.5" customHeight="1">
      <c r="A289" s="72" t="s">
        <v>505</v>
      </c>
      <c r="B289" s="72" t="s">
        <v>167</v>
      </c>
      <c r="C289" s="72" t="s">
        <v>169</v>
      </c>
      <c r="D289" s="87" t="s">
        <v>506</v>
      </c>
      <c r="E289" s="81">
        <v>614234</v>
      </c>
      <c r="F289" s="82" t="s">
        <v>215</v>
      </c>
      <c r="G289" s="86" t="s">
        <v>440</v>
      </c>
      <c r="H289" s="83">
        <v>10000</v>
      </c>
      <c r="I289" s="84">
        <v>8750</v>
      </c>
      <c r="J289" s="84">
        <v>10000</v>
      </c>
      <c r="K289" s="83">
        <v>10000</v>
      </c>
      <c r="L289" s="83">
        <f t="shared" si="52"/>
        <v>100</v>
      </c>
      <c r="M289" s="83">
        <f t="shared" si="55"/>
        <v>1</v>
      </c>
      <c r="N289" s="85">
        <f t="shared" si="54"/>
        <v>6.2538961773184697E-4</v>
      </c>
    </row>
    <row r="290" spans="1:14" ht="15.75" customHeight="1">
      <c r="A290" s="72" t="s">
        <v>505</v>
      </c>
      <c r="B290" s="72" t="s">
        <v>167</v>
      </c>
      <c r="C290" s="72" t="s">
        <v>169</v>
      </c>
      <c r="D290" s="87" t="s">
        <v>156</v>
      </c>
      <c r="E290" s="81">
        <v>614239</v>
      </c>
      <c r="F290" s="82" t="s">
        <v>215</v>
      </c>
      <c r="G290" s="86" t="s">
        <v>441</v>
      </c>
      <c r="H290" s="83">
        <v>33000</v>
      </c>
      <c r="I290" s="84">
        <v>21250</v>
      </c>
      <c r="J290" s="84">
        <v>33000</v>
      </c>
      <c r="K290" s="83">
        <v>33000</v>
      </c>
      <c r="L290" s="83">
        <f t="shared" si="52"/>
        <v>100</v>
      </c>
      <c r="M290" s="83">
        <f t="shared" si="55"/>
        <v>1</v>
      </c>
      <c r="N290" s="85">
        <f t="shared" si="54"/>
        <v>2.0637857385150948E-3</v>
      </c>
    </row>
    <row r="291" spans="1:14" ht="15.75" customHeight="1">
      <c r="A291" s="72" t="s">
        <v>505</v>
      </c>
      <c r="B291" s="72" t="s">
        <v>167</v>
      </c>
      <c r="C291" s="72" t="s">
        <v>169</v>
      </c>
      <c r="D291" s="87" t="s">
        <v>156</v>
      </c>
      <c r="E291" s="81">
        <v>614239</v>
      </c>
      <c r="F291" s="82" t="s">
        <v>216</v>
      </c>
      <c r="G291" s="86" t="s">
        <v>442</v>
      </c>
      <c r="H291" s="83">
        <v>10000</v>
      </c>
      <c r="I291" s="84">
        <v>0</v>
      </c>
      <c r="J291" s="84">
        <v>10000</v>
      </c>
      <c r="K291" s="83">
        <v>10000</v>
      </c>
      <c r="L291" s="83">
        <f t="shared" si="52"/>
        <v>100</v>
      </c>
      <c r="M291" s="83">
        <f t="shared" si="55"/>
        <v>1</v>
      </c>
      <c r="N291" s="85">
        <f t="shared" si="54"/>
        <v>6.2538961773184697E-4</v>
      </c>
    </row>
    <row r="292" spans="1:14" ht="15.75" customHeight="1">
      <c r="A292" s="72" t="s">
        <v>505</v>
      </c>
      <c r="B292" s="72" t="s">
        <v>167</v>
      </c>
      <c r="C292" s="72" t="s">
        <v>169</v>
      </c>
      <c r="D292" s="87" t="s">
        <v>156</v>
      </c>
      <c r="E292" s="81">
        <v>614259</v>
      </c>
      <c r="F292" s="82" t="s">
        <v>220</v>
      </c>
      <c r="G292" s="86" t="s">
        <v>443</v>
      </c>
      <c r="H292" s="83">
        <v>32000</v>
      </c>
      <c r="I292" s="84">
        <v>27004.55</v>
      </c>
      <c r="J292" s="84">
        <v>32000</v>
      </c>
      <c r="K292" s="83">
        <v>32000</v>
      </c>
      <c r="L292" s="83">
        <f t="shared" si="52"/>
        <v>100</v>
      </c>
      <c r="M292" s="83">
        <f t="shared" si="55"/>
        <v>1</v>
      </c>
      <c r="N292" s="85">
        <f t="shared" si="54"/>
        <v>2.0012467767419103E-3</v>
      </c>
    </row>
    <row r="293" spans="1:14" ht="13.95" customHeight="1">
      <c r="A293" s="72" t="s">
        <v>505</v>
      </c>
      <c r="B293" s="72" t="s">
        <v>167</v>
      </c>
      <c r="C293" s="72" t="s">
        <v>169</v>
      </c>
      <c r="D293" s="87" t="s">
        <v>156</v>
      </c>
      <c r="E293" s="81">
        <v>614311</v>
      </c>
      <c r="F293" s="82" t="s">
        <v>215</v>
      </c>
      <c r="G293" s="86" t="s">
        <v>444</v>
      </c>
      <c r="H293" s="83">
        <v>15000</v>
      </c>
      <c r="I293" s="84">
        <v>0</v>
      </c>
      <c r="J293" s="84">
        <v>15000</v>
      </c>
      <c r="K293" s="83">
        <v>15000</v>
      </c>
      <c r="L293" s="83">
        <f t="shared" si="52"/>
        <v>100</v>
      </c>
      <c r="M293" s="83">
        <f t="shared" si="55"/>
        <v>1</v>
      </c>
      <c r="N293" s="85">
        <f t="shared" si="54"/>
        <v>9.380844265977704E-4</v>
      </c>
    </row>
    <row r="294" spans="1:14" ht="15.6" customHeight="1">
      <c r="A294" s="72" t="s">
        <v>505</v>
      </c>
      <c r="B294" s="72" t="s">
        <v>167</v>
      </c>
      <c r="C294" s="72" t="s">
        <v>169</v>
      </c>
      <c r="D294" s="87" t="s">
        <v>156</v>
      </c>
      <c r="E294" s="81">
        <v>614311</v>
      </c>
      <c r="F294" s="82" t="s">
        <v>227</v>
      </c>
      <c r="G294" s="86" t="s">
        <v>445</v>
      </c>
      <c r="H294" s="83">
        <v>10000</v>
      </c>
      <c r="I294" s="84">
        <v>5000</v>
      </c>
      <c r="J294" s="84">
        <v>10000</v>
      </c>
      <c r="K294" s="83">
        <v>10000</v>
      </c>
      <c r="L294" s="83">
        <f t="shared" si="52"/>
        <v>100</v>
      </c>
      <c r="M294" s="83">
        <f t="shared" si="55"/>
        <v>1</v>
      </c>
      <c r="N294" s="85">
        <f t="shared" si="54"/>
        <v>6.2538961773184697E-4</v>
      </c>
    </row>
    <row r="295" spans="1:14" ht="24.75" customHeight="1">
      <c r="A295" s="72"/>
      <c r="B295" s="72"/>
      <c r="C295" s="72"/>
      <c r="D295" s="87"/>
      <c r="E295" s="81"/>
      <c r="F295" s="82"/>
      <c r="G295" s="75" t="s">
        <v>446</v>
      </c>
      <c r="H295" s="78">
        <f>SUM(H256:H294)</f>
        <v>1198748</v>
      </c>
      <c r="I295" s="78">
        <f t="shared" ref="I295:K295" si="60">SUM(I256:I294)</f>
        <v>746958.43999999983</v>
      </c>
      <c r="J295" s="78">
        <f>SUM(J256:J294)</f>
        <v>1111796.6499999999</v>
      </c>
      <c r="K295" s="78">
        <f t="shared" si="60"/>
        <v>1277961</v>
      </c>
      <c r="L295" s="78">
        <f t="shared" si="52"/>
        <v>106.60797765668848</v>
      </c>
      <c r="M295" s="83">
        <f t="shared" si="55"/>
        <v>1.1494557030730397</v>
      </c>
      <c r="N295" s="89">
        <f t="shared" si="54"/>
        <v>7.9922354126620881E-2</v>
      </c>
    </row>
    <row r="296" spans="1:14" ht="12">
      <c r="A296" s="65"/>
      <c r="B296" s="65"/>
      <c r="C296" s="65"/>
      <c r="D296" s="87"/>
      <c r="E296" s="74"/>
      <c r="F296" s="88"/>
      <c r="G296" s="79" t="s">
        <v>525</v>
      </c>
      <c r="H296" s="74">
        <v>24</v>
      </c>
      <c r="I296" s="74">
        <v>22</v>
      </c>
      <c r="J296" s="74">
        <v>22</v>
      </c>
      <c r="K296" s="74">
        <v>24</v>
      </c>
      <c r="L296" s="78"/>
      <c r="M296" s="83"/>
      <c r="N296" s="89"/>
    </row>
    <row r="297" spans="1:14" ht="12">
      <c r="A297" s="51"/>
      <c r="B297" s="51"/>
      <c r="C297" s="51"/>
      <c r="D297" s="130"/>
      <c r="E297" s="108"/>
      <c r="F297" s="56"/>
      <c r="G297" s="108"/>
      <c r="H297" s="108"/>
      <c r="I297" s="105"/>
      <c r="J297" s="105"/>
      <c r="K297" s="105"/>
      <c r="L297" s="105"/>
      <c r="M297" s="325"/>
      <c r="N297" s="106"/>
    </row>
    <row r="298" spans="1:14" ht="11.25" customHeight="1">
      <c r="A298" s="140"/>
      <c r="B298" s="140"/>
      <c r="C298" s="140"/>
      <c r="D298" s="130"/>
      <c r="E298" s="141"/>
      <c r="F298" s="131"/>
      <c r="G298" s="109"/>
      <c r="H298" s="105"/>
      <c r="I298" s="105"/>
      <c r="J298" s="105"/>
      <c r="K298" s="105"/>
      <c r="L298" s="105"/>
      <c r="M298" s="323"/>
      <c r="N298" s="138"/>
    </row>
    <row r="299" spans="1:14" ht="51" customHeight="1">
      <c r="A299" s="72"/>
      <c r="B299" s="72"/>
      <c r="C299" s="72"/>
      <c r="D299" s="87"/>
      <c r="E299" s="81"/>
      <c r="F299" s="82"/>
      <c r="G299" s="99" t="s">
        <v>541</v>
      </c>
      <c r="H299" s="83"/>
      <c r="I299" s="84"/>
      <c r="J299" s="84"/>
      <c r="K299" s="83"/>
      <c r="L299" s="83"/>
      <c r="M299" s="102"/>
      <c r="N299" s="129"/>
    </row>
    <row r="300" spans="1:14" ht="11.4">
      <c r="A300" s="65"/>
      <c r="B300" s="65"/>
      <c r="C300" s="65"/>
      <c r="D300" s="80"/>
      <c r="E300" s="145">
        <v>610000</v>
      </c>
      <c r="F300" s="302"/>
      <c r="G300" s="144" t="s">
        <v>168</v>
      </c>
      <c r="H300" s="83"/>
      <c r="I300" s="84"/>
      <c r="J300" s="84"/>
      <c r="K300" s="83"/>
      <c r="L300" s="83"/>
      <c r="M300" s="83"/>
      <c r="N300" s="85"/>
    </row>
    <row r="301" spans="1:14" ht="16.5" customHeight="1">
      <c r="A301" s="72" t="s">
        <v>180</v>
      </c>
      <c r="B301" s="72" t="s">
        <v>167</v>
      </c>
      <c r="C301" s="72" t="s">
        <v>169</v>
      </c>
      <c r="D301" s="87" t="s">
        <v>216</v>
      </c>
      <c r="E301" s="76">
        <v>611110</v>
      </c>
      <c r="F301" s="82" t="s">
        <v>215</v>
      </c>
      <c r="G301" s="77" t="s">
        <v>172</v>
      </c>
      <c r="H301" s="83">
        <v>0</v>
      </c>
      <c r="I301" s="84">
        <v>0</v>
      </c>
      <c r="J301" s="84">
        <v>0</v>
      </c>
      <c r="K301" s="83">
        <v>502330</v>
      </c>
      <c r="L301" s="83" t="e">
        <f t="shared" ref="L301:L312" si="61">K301/H301*100</f>
        <v>#DIV/0!</v>
      </c>
      <c r="M301" s="83" t="e">
        <f t="shared" si="55"/>
        <v>#DIV/0!</v>
      </c>
      <c r="N301" s="85">
        <f t="shared" ref="N301:N332" si="62">K301/K$390</f>
        <v>3.1415196667523869E-2</v>
      </c>
    </row>
    <row r="302" spans="1:14" ht="16.5" customHeight="1">
      <c r="A302" s="72" t="s">
        <v>180</v>
      </c>
      <c r="B302" s="72" t="s">
        <v>167</v>
      </c>
      <c r="C302" s="72" t="s">
        <v>169</v>
      </c>
      <c r="D302" s="87" t="s">
        <v>216</v>
      </c>
      <c r="E302" s="76">
        <v>611111</v>
      </c>
      <c r="F302" s="82" t="s">
        <v>215</v>
      </c>
      <c r="G302" s="77" t="s">
        <v>307</v>
      </c>
      <c r="H302" s="83">
        <v>437500</v>
      </c>
      <c r="I302" s="84">
        <v>318963.71999999997</v>
      </c>
      <c r="J302" s="84">
        <v>437859</v>
      </c>
      <c r="K302" s="83">
        <v>0</v>
      </c>
      <c r="L302" s="83">
        <f t="shared" si="61"/>
        <v>0</v>
      </c>
      <c r="M302" s="83">
        <f t="shared" si="55"/>
        <v>0</v>
      </c>
      <c r="N302" s="85">
        <f t="shared" si="62"/>
        <v>0</v>
      </c>
    </row>
    <row r="303" spans="1:14" ht="15" customHeight="1">
      <c r="A303" s="72" t="s">
        <v>180</v>
      </c>
      <c r="B303" s="72" t="s">
        <v>167</v>
      </c>
      <c r="C303" s="72" t="s">
        <v>169</v>
      </c>
      <c r="D303" s="87" t="s">
        <v>216</v>
      </c>
      <c r="E303" s="76">
        <v>611130</v>
      </c>
      <c r="F303" s="82" t="s">
        <v>215</v>
      </c>
      <c r="G303" s="77" t="s">
        <v>308</v>
      </c>
      <c r="H303" s="83">
        <v>0</v>
      </c>
      <c r="I303" s="84">
        <v>0</v>
      </c>
      <c r="J303" s="84">
        <v>0</v>
      </c>
      <c r="K303" s="83">
        <v>225700</v>
      </c>
      <c r="L303" s="83" t="e">
        <f t="shared" si="61"/>
        <v>#DIV/0!</v>
      </c>
      <c r="M303" s="83" t="e">
        <f t="shared" si="55"/>
        <v>#DIV/0!</v>
      </c>
      <c r="N303" s="85">
        <f t="shared" si="62"/>
        <v>1.4115043672207785E-2</v>
      </c>
    </row>
    <row r="304" spans="1:14" ht="15" customHeight="1">
      <c r="A304" s="72" t="s">
        <v>180</v>
      </c>
      <c r="B304" s="72" t="s">
        <v>167</v>
      </c>
      <c r="C304" s="72" t="s">
        <v>169</v>
      </c>
      <c r="D304" s="87" t="s">
        <v>216</v>
      </c>
      <c r="E304" s="76">
        <v>611131</v>
      </c>
      <c r="F304" s="82" t="s">
        <v>215</v>
      </c>
      <c r="G304" s="77" t="s">
        <v>309</v>
      </c>
      <c r="H304" s="83">
        <v>196500</v>
      </c>
      <c r="I304" s="84">
        <v>143302.39999999999</v>
      </c>
      <c r="J304" s="84">
        <v>196730</v>
      </c>
      <c r="K304" s="83">
        <v>0</v>
      </c>
      <c r="L304" s="83">
        <f t="shared" si="61"/>
        <v>0</v>
      </c>
      <c r="M304" s="83">
        <f t="shared" si="55"/>
        <v>0</v>
      </c>
      <c r="N304" s="85">
        <f t="shared" si="62"/>
        <v>0</v>
      </c>
    </row>
    <row r="305" spans="1:14" ht="15" customHeight="1">
      <c r="A305" s="72" t="s">
        <v>180</v>
      </c>
      <c r="B305" s="72" t="s">
        <v>167</v>
      </c>
      <c r="C305" s="72" t="s">
        <v>169</v>
      </c>
      <c r="D305" s="87" t="s">
        <v>216</v>
      </c>
      <c r="E305" s="76">
        <v>611211</v>
      </c>
      <c r="F305" s="82" t="s">
        <v>215</v>
      </c>
      <c r="G305" s="77" t="s">
        <v>310</v>
      </c>
      <c r="H305" s="83">
        <v>26400</v>
      </c>
      <c r="I305" s="84">
        <v>13669.03</v>
      </c>
      <c r="J305" s="84">
        <v>18754</v>
      </c>
      <c r="K305" s="83">
        <v>21690</v>
      </c>
      <c r="L305" s="83">
        <f t="shared" si="61"/>
        <v>82.159090909090907</v>
      </c>
      <c r="M305" s="83">
        <f t="shared" si="55"/>
        <v>1.1565532686360243</v>
      </c>
      <c r="N305" s="85">
        <f t="shared" si="62"/>
        <v>1.3564700808603759E-3</v>
      </c>
    </row>
    <row r="306" spans="1:14" ht="15" customHeight="1">
      <c r="A306" s="72" t="s">
        <v>180</v>
      </c>
      <c r="B306" s="72" t="s">
        <v>167</v>
      </c>
      <c r="C306" s="72" t="s">
        <v>169</v>
      </c>
      <c r="D306" s="87" t="s">
        <v>216</v>
      </c>
      <c r="E306" s="76">
        <v>611221</v>
      </c>
      <c r="F306" s="82" t="s">
        <v>215</v>
      </c>
      <c r="G306" s="77" t="s">
        <v>289</v>
      </c>
      <c r="H306" s="83">
        <v>69696</v>
      </c>
      <c r="I306" s="84">
        <v>41819.11</v>
      </c>
      <c r="J306" s="84">
        <v>59424</v>
      </c>
      <c r="K306" s="83">
        <v>82370</v>
      </c>
      <c r="L306" s="83">
        <f t="shared" si="61"/>
        <v>118.18468778696052</v>
      </c>
      <c r="M306" s="83">
        <f t="shared" si="55"/>
        <v>1.3861402800215401</v>
      </c>
      <c r="N306" s="85">
        <f t="shared" si="62"/>
        <v>5.1513342812572228E-3</v>
      </c>
    </row>
    <row r="307" spans="1:14" ht="13.5" customHeight="1">
      <c r="A307" s="72" t="s">
        <v>180</v>
      </c>
      <c r="B307" s="72" t="s">
        <v>167</v>
      </c>
      <c r="C307" s="72" t="s">
        <v>169</v>
      </c>
      <c r="D307" s="87" t="s">
        <v>216</v>
      </c>
      <c r="E307" s="76">
        <v>611224</v>
      </c>
      <c r="F307" s="82" t="s">
        <v>215</v>
      </c>
      <c r="G307" s="77" t="s">
        <v>75</v>
      </c>
      <c r="H307" s="83">
        <v>13200</v>
      </c>
      <c r="I307" s="84">
        <v>12600</v>
      </c>
      <c r="J307" s="84">
        <v>12600</v>
      </c>
      <c r="K307" s="83">
        <v>15600</v>
      </c>
      <c r="L307" s="83">
        <f t="shared" si="61"/>
        <v>118.18181818181819</v>
      </c>
      <c r="M307" s="83">
        <f t="shared" si="55"/>
        <v>1.2380952380952381</v>
      </c>
      <c r="N307" s="85">
        <f t="shared" si="62"/>
        <v>9.7560780366168123E-4</v>
      </c>
    </row>
    <row r="308" spans="1:14" ht="16.2" customHeight="1">
      <c r="A308" s="72" t="s">
        <v>180</v>
      </c>
      <c r="B308" s="72" t="s">
        <v>167</v>
      </c>
      <c r="C308" s="72" t="s">
        <v>169</v>
      </c>
      <c r="D308" s="87" t="s">
        <v>216</v>
      </c>
      <c r="E308" s="76">
        <v>611225</v>
      </c>
      <c r="F308" s="82" t="s">
        <v>215</v>
      </c>
      <c r="G308" s="77" t="s">
        <v>179</v>
      </c>
      <c r="H308" s="83">
        <v>0</v>
      </c>
      <c r="I308" s="84">
        <v>0</v>
      </c>
      <c r="J308" s="84">
        <v>0</v>
      </c>
      <c r="K308" s="83">
        <v>9390</v>
      </c>
      <c r="L308" s="83" t="e">
        <f t="shared" si="61"/>
        <v>#DIV/0!</v>
      </c>
      <c r="M308" s="83" t="e">
        <f t="shared" si="55"/>
        <v>#DIV/0!</v>
      </c>
      <c r="N308" s="85">
        <f t="shared" si="62"/>
        <v>5.8724085105020432E-4</v>
      </c>
    </row>
    <row r="309" spans="1:14" ht="15" customHeight="1">
      <c r="A309" s="72" t="s">
        <v>180</v>
      </c>
      <c r="B309" s="72" t="s">
        <v>167</v>
      </c>
      <c r="C309" s="72" t="s">
        <v>169</v>
      </c>
      <c r="D309" s="87" t="s">
        <v>216</v>
      </c>
      <c r="E309" s="76">
        <v>611227</v>
      </c>
      <c r="F309" s="82" t="s">
        <v>215</v>
      </c>
      <c r="G309" s="77" t="s">
        <v>291</v>
      </c>
      <c r="H309" s="83">
        <v>3400</v>
      </c>
      <c r="I309" s="84">
        <v>0</v>
      </c>
      <c r="J309" s="84">
        <v>3400</v>
      </c>
      <c r="K309" s="83">
        <v>3400</v>
      </c>
      <c r="L309" s="83">
        <f t="shared" si="61"/>
        <v>100</v>
      </c>
      <c r="M309" s="83">
        <f t="shared" si="55"/>
        <v>1</v>
      </c>
      <c r="N309" s="85">
        <f t="shared" si="62"/>
        <v>2.1263247002882796E-4</v>
      </c>
    </row>
    <row r="310" spans="1:14" ht="15" customHeight="1">
      <c r="A310" s="72" t="s">
        <v>180</v>
      </c>
      <c r="B310" s="72" t="s">
        <v>167</v>
      </c>
      <c r="C310" s="72" t="s">
        <v>169</v>
      </c>
      <c r="D310" s="87" t="s">
        <v>216</v>
      </c>
      <c r="E310" s="76">
        <v>612110</v>
      </c>
      <c r="F310" s="82" t="s">
        <v>215</v>
      </c>
      <c r="G310" s="77" t="s">
        <v>292</v>
      </c>
      <c r="H310" s="83">
        <v>0</v>
      </c>
      <c r="I310" s="84">
        <v>0</v>
      </c>
      <c r="J310" s="84">
        <v>0</v>
      </c>
      <c r="K310" s="83">
        <v>76440</v>
      </c>
      <c r="L310" s="83" t="e">
        <f t="shared" si="61"/>
        <v>#DIV/0!</v>
      </c>
      <c r="M310" s="83" t="e">
        <f t="shared" si="55"/>
        <v>#DIV/0!</v>
      </c>
      <c r="N310" s="85">
        <f t="shared" si="62"/>
        <v>4.7804782379422383E-3</v>
      </c>
    </row>
    <row r="311" spans="1:14" ht="16.95" customHeight="1">
      <c r="A311" s="72" t="s">
        <v>180</v>
      </c>
      <c r="B311" s="72" t="s">
        <v>167</v>
      </c>
      <c r="C311" s="72" t="s">
        <v>169</v>
      </c>
      <c r="D311" s="87" t="s">
        <v>216</v>
      </c>
      <c r="E311" s="76">
        <v>612111</v>
      </c>
      <c r="F311" s="82" t="s">
        <v>215</v>
      </c>
      <c r="G311" s="86" t="s">
        <v>77</v>
      </c>
      <c r="H311" s="83">
        <v>72200</v>
      </c>
      <c r="I311" s="84">
        <v>50024.53</v>
      </c>
      <c r="J311" s="84">
        <v>66632</v>
      </c>
      <c r="K311" s="83">
        <v>0</v>
      </c>
      <c r="L311" s="83">
        <f t="shared" si="61"/>
        <v>0</v>
      </c>
      <c r="M311" s="83">
        <f t="shared" si="55"/>
        <v>0</v>
      </c>
      <c r="N311" s="85">
        <f t="shared" si="62"/>
        <v>0</v>
      </c>
    </row>
    <row r="312" spans="1:14" ht="14.25" customHeight="1">
      <c r="A312" s="72" t="s">
        <v>180</v>
      </c>
      <c r="B312" s="72" t="s">
        <v>167</v>
      </c>
      <c r="C312" s="72" t="s">
        <v>169</v>
      </c>
      <c r="D312" s="87" t="s">
        <v>216</v>
      </c>
      <c r="E312" s="76">
        <v>613115</v>
      </c>
      <c r="F312" s="82" t="s">
        <v>215</v>
      </c>
      <c r="G312" s="77" t="s">
        <v>297</v>
      </c>
      <c r="H312" s="83">
        <v>500</v>
      </c>
      <c r="I312" s="84">
        <v>211.5</v>
      </c>
      <c r="J312" s="84">
        <v>500</v>
      </c>
      <c r="K312" s="83">
        <v>500</v>
      </c>
      <c r="L312" s="83">
        <f t="shared" si="61"/>
        <v>100</v>
      </c>
      <c r="M312" s="83">
        <f t="shared" si="55"/>
        <v>1</v>
      </c>
      <c r="N312" s="85">
        <f t="shared" si="62"/>
        <v>3.1269480886592348E-5</v>
      </c>
    </row>
    <row r="313" spans="1:14" ht="13.5" customHeight="1">
      <c r="A313" s="72" t="s">
        <v>180</v>
      </c>
      <c r="B313" s="72" t="s">
        <v>167</v>
      </c>
      <c r="C313" s="72" t="s">
        <v>169</v>
      </c>
      <c r="D313" s="87" t="s">
        <v>216</v>
      </c>
      <c r="E313" s="81">
        <v>613211</v>
      </c>
      <c r="F313" s="82" t="s">
        <v>215</v>
      </c>
      <c r="G313" s="77" t="s">
        <v>81</v>
      </c>
      <c r="H313" s="83">
        <v>3500</v>
      </c>
      <c r="I313" s="84">
        <v>2241.83</v>
      </c>
      <c r="J313" s="84">
        <v>3500</v>
      </c>
      <c r="K313" s="83">
        <v>3500</v>
      </c>
      <c r="L313" s="83">
        <f t="shared" ref="L313:L384" si="63">K313/H313*100</f>
        <v>100</v>
      </c>
      <c r="M313" s="83">
        <f t="shared" si="55"/>
        <v>1</v>
      </c>
      <c r="N313" s="85">
        <f t="shared" si="62"/>
        <v>2.1888636620614644E-4</v>
      </c>
    </row>
    <row r="314" spans="1:14" ht="15" customHeight="1">
      <c r="A314" s="72" t="s">
        <v>180</v>
      </c>
      <c r="B314" s="72" t="s">
        <v>167</v>
      </c>
      <c r="C314" s="72" t="s">
        <v>169</v>
      </c>
      <c r="D314" s="87" t="s">
        <v>216</v>
      </c>
      <c r="E314" s="81">
        <v>613212</v>
      </c>
      <c r="F314" s="82" t="s">
        <v>215</v>
      </c>
      <c r="G314" s="77" t="s">
        <v>82</v>
      </c>
      <c r="H314" s="83">
        <v>3500</v>
      </c>
      <c r="I314" s="84">
        <v>1350</v>
      </c>
      <c r="J314" s="84">
        <v>3500</v>
      </c>
      <c r="K314" s="83">
        <v>3500</v>
      </c>
      <c r="L314" s="83">
        <f t="shared" si="63"/>
        <v>100</v>
      </c>
      <c r="M314" s="83">
        <f t="shared" si="55"/>
        <v>1</v>
      </c>
      <c r="N314" s="85">
        <f t="shared" si="62"/>
        <v>2.1888636620614644E-4</v>
      </c>
    </row>
    <row r="315" spans="1:14" ht="15" customHeight="1">
      <c r="A315" s="72" t="s">
        <v>180</v>
      </c>
      <c r="B315" s="72" t="s">
        <v>167</v>
      </c>
      <c r="C315" s="72" t="s">
        <v>169</v>
      </c>
      <c r="D315" s="80" t="s">
        <v>507</v>
      </c>
      <c r="E315" s="81">
        <v>613216</v>
      </c>
      <c r="F315" s="82" t="s">
        <v>215</v>
      </c>
      <c r="G315" s="77" t="s">
        <v>452</v>
      </c>
      <c r="H315" s="83">
        <v>36000</v>
      </c>
      <c r="I315" s="84">
        <v>27312.35</v>
      </c>
      <c r="J315" s="84">
        <v>36000</v>
      </c>
      <c r="K315" s="83">
        <v>36000</v>
      </c>
      <c r="L315" s="83">
        <f t="shared" si="63"/>
        <v>100</v>
      </c>
      <c r="M315" s="83">
        <f t="shared" si="55"/>
        <v>1</v>
      </c>
      <c r="N315" s="85">
        <f t="shared" si="62"/>
        <v>2.2514026238346489E-3</v>
      </c>
    </row>
    <row r="316" spans="1:14" ht="16.5" customHeight="1">
      <c r="A316" s="72" t="s">
        <v>180</v>
      </c>
      <c r="B316" s="72" t="s">
        <v>167</v>
      </c>
      <c r="C316" s="72" t="s">
        <v>169</v>
      </c>
      <c r="D316" s="80" t="s">
        <v>216</v>
      </c>
      <c r="E316" s="81">
        <v>613321</v>
      </c>
      <c r="F316" s="82" t="s">
        <v>215</v>
      </c>
      <c r="G316" s="77" t="s">
        <v>84</v>
      </c>
      <c r="H316" s="83">
        <v>5000</v>
      </c>
      <c r="I316" s="84">
        <v>2860.29</v>
      </c>
      <c r="J316" s="84">
        <v>5000</v>
      </c>
      <c r="K316" s="83">
        <v>5000</v>
      </c>
      <c r="L316" s="83">
        <f t="shared" si="63"/>
        <v>100</v>
      </c>
      <c r="M316" s="83">
        <f t="shared" si="55"/>
        <v>1</v>
      </c>
      <c r="N316" s="85">
        <f t="shared" si="62"/>
        <v>3.1269480886592348E-4</v>
      </c>
    </row>
    <row r="317" spans="1:14" ht="14.25" customHeight="1">
      <c r="A317" s="72" t="s">
        <v>180</v>
      </c>
      <c r="B317" s="72" t="s">
        <v>167</v>
      </c>
      <c r="C317" s="72" t="s">
        <v>169</v>
      </c>
      <c r="D317" s="87" t="s">
        <v>508</v>
      </c>
      <c r="E317" s="81">
        <v>613329</v>
      </c>
      <c r="F317" s="82" t="s">
        <v>215</v>
      </c>
      <c r="G317" s="86" t="s">
        <v>453</v>
      </c>
      <c r="H317" s="83">
        <v>174300</v>
      </c>
      <c r="I317" s="84">
        <v>136322</v>
      </c>
      <c r="J317" s="84">
        <v>174300</v>
      </c>
      <c r="K317" s="83">
        <v>174300</v>
      </c>
      <c r="L317" s="83">
        <f t="shared" si="63"/>
        <v>100</v>
      </c>
      <c r="M317" s="83">
        <f t="shared" si="55"/>
        <v>1</v>
      </c>
      <c r="N317" s="85">
        <f t="shared" si="62"/>
        <v>1.0900541037066093E-2</v>
      </c>
    </row>
    <row r="318" spans="1:14" ht="15.75" customHeight="1">
      <c r="A318" s="72" t="s">
        <v>180</v>
      </c>
      <c r="B318" s="72" t="s">
        <v>167</v>
      </c>
      <c r="C318" s="72" t="s">
        <v>169</v>
      </c>
      <c r="D318" s="87" t="s">
        <v>508</v>
      </c>
      <c r="E318" s="81">
        <v>613329</v>
      </c>
      <c r="F318" s="82" t="s">
        <v>215</v>
      </c>
      <c r="G318" s="86" t="s">
        <v>454</v>
      </c>
      <c r="H318" s="83">
        <v>9000</v>
      </c>
      <c r="I318" s="84">
        <v>0</v>
      </c>
      <c r="J318" s="84">
        <v>9000</v>
      </c>
      <c r="K318" s="83">
        <v>9000</v>
      </c>
      <c r="L318" s="83">
        <f t="shared" si="63"/>
        <v>100</v>
      </c>
      <c r="M318" s="83">
        <f t="shared" si="55"/>
        <v>1</v>
      </c>
      <c r="N318" s="85">
        <f t="shared" si="62"/>
        <v>5.6285065595866222E-4</v>
      </c>
    </row>
    <row r="319" spans="1:14" ht="13.5" customHeight="1">
      <c r="A319" s="72" t="s">
        <v>180</v>
      </c>
      <c r="B319" s="72" t="s">
        <v>167</v>
      </c>
      <c r="C319" s="72" t="s">
        <v>169</v>
      </c>
      <c r="D319" s="87" t="s">
        <v>508</v>
      </c>
      <c r="E319" s="81">
        <v>613329</v>
      </c>
      <c r="F319" s="82" t="s">
        <v>215</v>
      </c>
      <c r="G319" s="77" t="s">
        <v>455</v>
      </c>
      <c r="H319" s="83">
        <v>15000</v>
      </c>
      <c r="I319" s="84">
        <v>0</v>
      </c>
      <c r="J319" s="84">
        <v>0</v>
      </c>
      <c r="K319" s="83">
        <v>15000</v>
      </c>
      <c r="L319" s="83">
        <f t="shared" si="63"/>
        <v>100</v>
      </c>
      <c r="M319" s="83" t="e">
        <f t="shared" si="55"/>
        <v>#DIV/0!</v>
      </c>
      <c r="N319" s="85">
        <f t="shared" si="62"/>
        <v>9.380844265977704E-4</v>
      </c>
    </row>
    <row r="320" spans="1:14" ht="15.75" customHeight="1">
      <c r="A320" s="72" t="s">
        <v>180</v>
      </c>
      <c r="B320" s="72" t="s">
        <v>167</v>
      </c>
      <c r="C320" s="72" t="s">
        <v>169</v>
      </c>
      <c r="D320" s="87" t="s">
        <v>216</v>
      </c>
      <c r="E320" s="81">
        <v>613417</v>
      </c>
      <c r="F320" s="82" t="s">
        <v>215</v>
      </c>
      <c r="G320" s="77" t="s">
        <v>86</v>
      </c>
      <c r="H320" s="83">
        <v>3000</v>
      </c>
      <c r="I320" s="84">
        <v>2017.21</v>
      </c>
      <c r="J320" s="84">
        <v>3000</v>
      </c>
      <c r="K320" s="83">
        <v>3000</v>
      </c>
      <c r="L320" s="83">
        <f t="shared" si="63"/>
        <v>100</v>
      </c>
      <c r="M320" s="83">
        <f t="shared" si="55"/>
        <v>1</v>
      </c>
      <c r="N320" s="85">
        <f t="shared" si="62"/>
        <v>1.8761688531955409E-4</v>
      </c>
    </row>
    <row r="321" spans="1:14" ht="13.5" customHeight="1">
      <c r="A321" s="72" t="s">
        <v>180</v>
      </c>
      <c r="B321" s="72" t="s">
        <v>167</v>
      </c>
      <c r="C321" s="72" t="s">
        <v>169</v>
      </c>
      <c r="D321" s="80" t="s">
        <v>216</v>
      </c>
      <c r="E321" s="81">
        <v>613491</v>
      </c>
      <c r="F321" s="82" t="s">
        <v>215</v>
      </c>
      <c r="G321" s="77" t="s">
        <v>405</v>
      </c>
      <c r="H321" s="83">
        <v>550</v>
      </c>
      <c r="I321" s="84">
        <v>0</v>
      </c>
      <c r="J321" s="84">
        <v>550</v>
      </c>
      <c r="K321" s="83">
        <v>550</v>
      </c>
      <c r="L321" s="83">
        <f t="shared" ref="L321:L329" si="64">K321/H321*100</f>
        <v>100</v>
      </c>
      <c r="M321" s="83">
        <f t="shared" si="55"/>
        <v>1</v>
      </c>
      <c r="N321" s="85">
        <f t="shared" si="62"/>
        <v>3.4396428975251582E-5</v>
      </c>
    </row>
    <row r="322" spans="1:14" ht="15" customHeight="1">
      <c r="A322" s="72" t="s">
        <v>180</v>
      </c>
      <c r="B322" s="72" t="s">
        <v>167</v>
      </c>
      <c r="C322" s="72" t="s">
        <v>169</v>
      </c>
      <c r="D322" s="80" t="s">
        <v>216</v>
      </c>
      <c r="E322" s="81">
        <v>613510</v>
      </c>
      <c r="F322" s="82" t="s">
        <v>215</v>
      </c>
      <c r="G322" s="77" t="s">
        <v>406</v>
      </c>
      <c r="H322" s="83">
        <v>15000</v>
      </c>
      <c r="I322" s="84">
        <v>10078.6</v>
      </c>
      <c r="J322" s="84">
        <v>15000</v>
      </c>
      <c r="K322" s="83">
        <v>15000</v>
      </c>
      <c r="L322" s="83">
        <f t="shared" si="64"/>
        <v>100</v>
      </c>
      <c r="M322" s="83">
        <f t="shared" si="55"/>
        <v>1</v>
      </c>
      <c r="N322" s="85">
        <f t="shared" si="62"/>
        <v>9.380844265977704E-4</v>
      </c>
    </row>
    <row r="323" spans="1:14" ht="15" customHeight="1">
      <c r="A323" s="72" t="s">
        <v>180</v>
      </c>
      <c r="B323" s="72" t="s">
        <v>167</v>
      </c>
      <c r="C323" s="72" t="s">
        <v>169</v>
      </c>
      <c r="D323" s="80" t="s">
        <v>216</v>
      </c>
      <c r="E323" s="81">
        <v>613523</v>
      </c>
      <c r="F323" s="82" t="s">
        <v>215</v>
      </c>
      <c r="G323" s="77" t="s">
        <v>89</v>
      </c>
      <c r="H323" s="83">
        <v>7000</v>
      </c>
      <c r="I323" s="84">
        <v>3307.47</v>
      </c>
      <c r="J323" s="84">
        <v>7000</v>
      </c>
      <c r="K323" s="83">
        <v>7000</v>
      </c>
      <c r="L323" s="83">
        <f t="shared" si="64"/>
        <v>100</v>
      </c>
      <c r="M323" s="83">
        <f t="shared" si="55"/>
        <v>1</v>
      </c>
      <c r="N323" s="85">
        <f t="shared" si="62"/>
        <v>4.3777273241229288E-4</v>
      </c>
    </row>
    <row r="324" spans="1:14" ht="19.5" customHeight="1">
      <c r="A324" s="72" t="s">
        <v>180</v>
      </c>
      <c r="B324" s="72" t="s">
        <v>167</v>
      </c>
      <c r="C324" s="72" t="s">
        <v>169</v>
      </c>
      <c r="D324" s="80" t="s">
        <v>216</v>
      </c>
      <c r="E324" s="81">
        <v>613711</v>
      </c>
      <c r="F324" s="82" t="s">
        <v>215</v>
      </c>
      <c r="G324" s="77" t="s">
        <v>595</v>
      </c>
      <c r="H324" s="83">
        <v>4000</v>
      </c>
      <c r="I324" s="84">
        <v>518.15</v>
      </c>
      <c r="J324" s="84">
        <v>4000</v>
      </c>
      <c r="K324" s="83">
        <v>4000</v>
      </c>
      <c r="L324" s="83">
        <f t="shared" si="64"/>
        <v>100</v>
      </c>
      <c r="M324" s="83">
        <f t="shared" si="55"/>
        <v>1</v>
      </c>
      <c r="N324" s="85">
        <f t="shared" si="62"/>
        <v>2.5015584709273879E-4</v>
      </c>
    </row>
    <row r="325" spans="1:14" ht="24" customHeight="1">
      <c r="A325" s="72" t="s">
        <v>180</v>
      </c>
      <c r="B325" s="72" t="s">
        <v>167</v>
      </c>
      <c r="C325" s="72" t="s">
        <v>169</v>
      </c>
      <c r="D325" s="80" t="s">
        <v>216</v>
      </c>
      <c r="E325" s="81">
        <v>613714</v>
      </c>
      <c r="F325" s="82" t="s">
        <v>215</v>
      </c>
      <c r="G325" s="86" t="s">
        <v>594</v>
      </c>
      <c r="H325" s="83"/>
      <c r="I325" s="84"/>
      <c r="J325" s="84">
        <v>0</v>
      </c>
      <c r="K325" s="83">
        <v>50000</v>
      </c>
      <c r="L325" s="83"/>
      <c r="M325" s="83" t="e">
        <f t="shared" si="55"/>
        <v>#DIV/0!</v>
      </c>
      <c r="N325" s="85">
        <f t="shared" si="62"/>
        <v>3.1269480886592345E-3</v>
      </c>
    </row>
    <row r="326" spans="1:14" ht="14.25" customHeight="1">
      <c r="A326" s="72" t="s">
        <v>180</v>
      </c>
      <c r="B326" s="72" t="s">
        <v>167</v>
      </c>
      <c r="C326" s="72" t="s">
        <v>169</v>
      </c>
      <c r="D326" s="80" t="s">
        <v>216</v>
      </c>
      <c r="E326" s="81">
        <v>613721</v>
      </c>
      <c r="F326" s="82" t="s">
        <v>215</v>
      </c>
      <c r="G326" s="86" t="s">
        <v>456</v>
      </c>
      <c r="H326" s="83">
        <v>3500</v>
      </c>
      <c r="I326" s="84">
        <v>0</v>
      </c>
      <c r="J326" s="84">
        <v>3500</v>
      </c>
      <c r="K326" s="83">
        <v>3500</v>
      </c>
      <c r="L326" s="83">
        <f t="shared" si="64"/>
        <v>100</v>
      </c>
      <c r="M326" s="83">
        <f t="shared" ref="M326:M388" si="65">K326/J326</f>
        <v>1</v>
      </c>
      <c r="N326" s="85">
        <f t="shared" si="62"/>
        <v>2.1888636620614644E-4</v>
      </c>
    </row>
    <row r="327" spans="1:14" ht="15.75" customHeight="1">
      <c r="A327" s="72" t="s">
        <v>180</v>
      </c>
      <c r="B327" s="72" t="s">
        <v>167</v>
      </c>
      <c r="C327" s="72" t="s">
        <v>169</v>
      </c>
      <c r="D327" s="80" t="s">
        <v>216</v>
      </c>
      <c r="E327" s="81">
        <v>613723</v>
      </c>
      <c r="F327" s="82" t="s">
        <v>215</v>
      </c>
      <c r="G327" s="86" t="s">
        <v>413</v>
      </c>
      <c r="H327" s="83">
        <v>15000</v>
      </c>
      <c r="I327" s="84">
        <v>9475</v>
      </c>
      <c r="J327" s="84">
        <v>15000</v>
      </c>
      <c r="K327" s="83">
        <v>15000</v>
      </c>
      <c r="L327" s="83">
        <f t="shared" si="64"/>
        <v>100</v>
      </c>
      <c r="M327" s="83">
        <f t="shared" si="65"/>
        <v>1</v>
      </c>
      <c r="N327" s="85">
        <f t="shared" si="62"/>
        <v>9.380844265977704E-4</v>
      </c>
    </row>
    <row r="328" spans="1:14" ht="16.2" customHeight="1">
      <c r="A328" s="72" t="s">
        <v>180</v>
      </c>
      <c r="B328" s="72" t="s">
        <v>167</v>
      </c>
      <c r="C328" s="72" t="s">
        <v>169</v>
      </c>
      <c r="D328" s="87" t="s">
        <v>216</v>
      </c>
      <c r="E328" s="81">
        <v>613724</v>
      </c>
      <c r="F328" s="82" t="s">
        <v>215</v>
      </c>
      <c r="G328" s="77" t="s">
        <v>457</v>
      </c>
      <c r="H328" s="83">
        <v>20000</v>
      </c>
      <c r="I328" s="84">
        <v>0</v>
      </c>
      <c r="J328" s="84">
        <v>20000</v>
      </c>
      <c r="K328" s="83">
        <v>20000</v>
      </c>
      <c r="L328" s="83">
        <f t="shared" si="64"/>
        <v>100</v>
      </c>
      <c r="M328" s="83">
        <f t="shared" si="65"/>
        <v>1</v>
      </c>
      <c r="N328" s="85">
        <f t="shared" si="62"/>
        <v>1.2507792354636939E-3</v>
      </c>
    </row>
    <row r="329" spans="1:14" ht="15.75" customHeight="1">
      <c r="A329" s="72" t="s">
        <v>180</v>
      </c>
      <c r="B329" s="72" t="s">
        <v>167</v>
      </c>
      <c r="C329" s="72" t="s">
        <v>169</v>
      </c>
      <c r="D329" s="87" t="s">
        <v>236</v>
      </c>
      <c r="E329" s="81">
        <v>613724</v>
      </c>
      <c r="F329" s="82" t="s">
        <v>215</v>
      </c>
      <c r="G329" s="77" t="s">
        <v>458</v>
      </c>
      <c r="H329" s="83">
        <v>35000</v>
      </c>
      <c r="I329" s="84">
        <v>0</v>
      </c>
      <c r="J329" s="84">
        <v>0</v>
      </c>
      <c r="K329" s="333">
        <v>50000</v>
      </c>
      <c r="L329" s="83">
        <f t="shared" si="64"/>
        <v>142.85714285714286</v>
      </c>
      <c r="M329" s="83" t="e">
        <f t="shared" si="65"/>
        <v>#DIV/0!</v>
      </c>
      <c r="N329" s="85">
        <f t="shared" si="62"/>
        <v>3.1269480886592345E-3</v>
      </c>
    </row>
    <row r="330" spans="1:14" ht="15.75" customHeight="1">
      <c r="A330" s="72" t="s">
        <v>180</v>
      </c>
      <c r="B330" s="72" t="s">
        <v>167</v>
      </c>
      <c r="C330" s="72" t="s">
        <v>169</v>
      </c>
      <c r="D330" s="87" t="s">
        <v>236</v>
      </c>
      <c r="E330" s="81">
        <v>613724</v>
      </c>
      <c r="F330" s="82" t="s">
        <v>215</v>
      </c>
      <c r="G330" s="77" t="s">
        <v>459</v>
      </c>
      <c r="H330" s="83">
        <v>70000</v>
      </c>
      <c r="I330" s="84">
        <v>14991.67</v>
      </c>
      <c r="J330" s="84">
        <v>70000</v>
      </c>
      <c r="K330" s="83">
        <v>30000</v>
      </c>
      <c r="L330" s="83">
        <f t="shared" ref="L330:L339" si="66">K330/H330*100</f>
        <v>42.857142857142854</v>
      </c>
      <c r="M330" s="83">
        <f t="shared" si="65"/>
        <v>0.42857142857142855</v>
      </c>
      <c r="N330" s="85">
        <f t="shared" si="62"/>
        <v>1.8761688531955408E-3</v>
      </c>
    </row>
    <row r="331" spans="1:14" ht="15.75" customHeight="1">
      <c r="A331" s="72" t="s">
        <v>180</v>
      </c>
      <c r="B331" s="72" t="s">
        <v>167</v>
      </c>
      <c r="C331" s="72" t="s">
        <v>169</v>
      </c>
      <c r="D331" s="87" t="s">
        <v>236</v>
      </c>
      <c r="E331" s="81">
        <v>613724</v>
      </c>
      <c r="F331" s="82" t="s">
        <v>215</v>
      </c>
      <c r="G331" s="77" t="s">
        <v>460</v>
      </c>
      <c r="H331" s="83">
        <v>0</v>
      </c>
      <c r="I331" s="84">
        <v>0</v>
      </c>
      <c r="J331" s="84">
        <v>0</v>
      </c>
      <c r="K331" s="83">
        <v>25000</v>
      </c>
      <c r="L331" s="83" t="e">
        <f t="shared" si="66"/>
        <v>#DIV/0!</v>
      </c>
      <c r="M331" s="83" t="e">
        <f t="shared" si="65"/>
        <v>#DIV/0!</v>
      </c>
      <c r="N331" s="85">
        <f t="shared" si="62"/>
        <v>1.5634740443296173E-3</v>
      </c>
    </row>
    <row r="332" spans="1:14" ht="13.5" customHeight="1">
      <c r="A332" s="72" t="s">
        <v>180</v>
      </c>
      <c r="B332" s="72" t="s">
        <v>167</v>
      </c>
      <c r="C332" s="72" t="s">
        <v>169</v>
      </c>
      <c r="D332" s="87" t="s">
        <v>236</v>
      </c>
      <c r="E332" s="81">
        <v>613724</v>
      </c>
      <c r="F332" s="82" t="s">
        <v>215</v>
      </c>
      <c r="G332" s="77" t="s">
        <v>461</v>
      </c>
      <c r="H332" s="83">
        <v>10000</v>
      </c>
      <c r="I332" s="84">
        <v>0</v>
      </c>
      <c r="J332" s="84">
        <v>10000</v>
      </c>
      <c r="K332" s="83">
        <v>0</v>
      </c>
      <c r="L332" s="83">
        <f t="shared" si="66"/>
        <v>0</v>
      </c>
      <c r="M332" s="83">
        <f t="shared" si="65"/>
        <v>0</v>
      </c>
      <c r="N332" s="85">
        <f t="shared" si="62"/>
        <v>0</v>
      </c>
    </row>
    <row r="333" spans="1:14" ht="13.5" customHeight="1">
      <c r="A333" s="72" t="s">
        <v>180</v>
      </c>
      <c r="B333" s="72" t="s">
        <v>167</v>
      </c>
      <c r="C333" s="72" t="s">
        <v>169</v>
      </c>
      <c r="D333" s="87" t="s">
        <v>236</v>
      </c>
      <c r="E333" s="81">
        <v>613724</v>
      </c>
      <c r="F333" s="82" t="s">
        <v>215</v>
      </c>
      <c r="G333" s="77" t="s">
        <v>579</v>
      </c>
      <c r="H333" s="83">
        <v>0</v>
      </c>
      <c r="I333" s="84">
        <v>0</v>
      </c>
      <c r="J333" s="84">
        <v>0</v>
      </c>
      <c r="K333" s="83">
        <v>92000</v>
      </c>
      <c r="L333" s="83" t="e">
        <f t="shared" si="66"/>
        <v>#DIV/0!</v>
      </c>
      <c r="M333" s="83" t="e">
        <f t="shared" si="65"/>
        <v>#DIV/0!</v>
      </c>
      <c r="N333" s="85"/>
    </row>
    <row r="334" spans="1:14" ht="15" customHeight="1">
      <c r="A334" s="72" t="s">
        <v>180</v>
      </c>
      <c r="B334" s="72" t="s">
        <v>167</v>
      </c>
      <c r="C334" s="72" t="s">
        <v>169</v>
      </c>
      <c r="D334" s="87" t="s">
        <v>236</v>
      </c>
      <c r="E334" s="81">
        <v>613724</v>
      </c>
      <c r="F334" s="82" t="s">
        <v>215</v>
      </c>
      <c r="G334" s="77" t="s">
        <v>462</v>
      </c>
      <c r="H334" s="83">
        <v>10000</v>
      </c>
      <c r="I334" s="84">
        <v>0</v>
      </c>
      <c r="J334" s="84">
        <v>10000</v>
      </c>
      <c r="K334" s="83">
        <v>0</v>
      </c>
      <c r="L334" s="83">
        <f t="shared" si="66"/>
        <v>0</v>
      </c>
      <c r="M334" s="83">
        <f t="shared" si="65"/>
        <v>0</v>
      </c>
      <c r="N334" s="85">
        <f t="shared" ref="N334:N357" si="67">K334/K$390</f>
        <v>0</v>
      </c>
    </row>
    <row r="335" spans="1:14" ht="15" customHeight="1">
      <c r="A335" s="72" t="s">
        <v>180</v>
      </c>
      <c r="B335" s="72" t="s">
        <v>167</v>
      </c>
      <c r="C335" s="72" t="s">
        <v>169</v>
      </c>
      <c r="D335" s="87" t="s">
        <v>236</v>
      </c>
      <c r="E335" s="81">
        <v>613724</v>
      </c>
      <c r="F335" s="82" t="s">
        <v>215</v>
      </c>
      <c r="G335" s="77" t="s">
        <v>463</v>
      </c>
      <c r="H335" s="83">
        <v>7000</v>
      </c>
      <c r="I335" s="84">
        <v>0</v>
      </c>
      <c r="J335" s="84">
        <v>7000</v>
      </c>
      <c r="K335" s="83">
        <v>0</v>
      </c>
      <c r="L335" s="83">
        <f t="shared" si="66"/>
        <v>0</v>
      </c>
      <c r="M335" s="83">
        <f t="shared" si="65"/>
        <v>0</v>
      </c>
      <c r="N335" s="85">
        <f t="shared" si="67"/>
        <v>0</v>
      </c>
    </row>
    <row r="336" spans="1:14" ht="24" customHeight="1">
      <c r="A336" s="72" t="s">
        <v>180</v>
      </c>
      <c r="B336" s="72" t="s">
        <v>167</v>
      </c>
      <c r="C336" s="72" t="s">
        <v>169</v>
      </c>
      <c r="D336" s="87" t="s">
        <v>236</v>
      </c>
      <c r="E336" s="81">
        <v>613724</v>
      </c>
      <c r="F336" s="82" t="s">
        <v>215</v>
      </c>
      <c r="G336" s="86" t="s">
        <v>596</v>
      </c>
      <c r="H336" s="83">
        <v>930000</v>
      </c>
      <c r="I336" s="84">
        <v>994.5</v>
      </c>
      <c r="J336" s="84">
        <v>995</v>
      </c>
      <c r="K336" s="83">
        <v>930000</v>
      </c>
      <c r="L336" s="83">
        <f t="shared" si="66"/>
        <v>100</v>
      </c>
      <c r="M336" s="83">
        <f t="shared" si="65"/>
        <v>934.67336683417091</v>
      </c>
      <c r="N336" s="85">
        <f t="shared" si="67"/>
        <v>5.8161234449061766E-2</v>
      </c>
    </row>
    <row r="337" spans="1:14" ht="15.75" customHeight="1">
      <c r="A337" s="72" t="s">
        <v>180</v>
      </c>
      <c r="B337" s="72" t="s">
        <v>167</v>
      </c>
      <c r="C337" s="72" t="s">
        <v>169</v>
      </c>
      <c r="D337" s="87" t="s">
        <v>236</v>
      </c>
      <c r="E337" s="81">
        <v>613724</v>
      </c>
      <c r="F337" s="82" t="s">
        <v>215</v>
      </c>
      <c r="G337" s="86" t="s">
        <v>464</v>
      </c>
      <c r="H337" s="83">
        <v>105900</v>
      </c>
      <c r="I337" s="84">
        <v>0</v>
      </c>
      <c r="J337" s="84">
        <v>105900</v>
      </c>
      <c r="K337" s="83">
        <v>136000</v>
      </c>
      <c r="L337" s="83">
        <f t="shared" si="66"/>
        <v>128.42304060434373</v>
      </c>
      <c r="M337" s="83">
        <f t="shared" si="65"/>
        <v>1.2842304060434373</v>
      </c>
      <c r="N337" s="85">
        <f t="shared" si="67"/>
        <v>8.5052988011531192E-3</v>
      </c>
    </row>
    <row r="338" spans="1:14" ht="13.5" customHeight="1">
      <c r="A338" s="72" t="s">
        <v>180</v>
      </c>
      <c r="B338" s="72" t="s">
        <v>167</v>
      </c>
      <c r="C338" s="72" t="s">
        <v>169</v>
      </c>
      <c r="D338" s="87" t="s">
        <v>236</v>
      </c>
      <c r="E338" s="81">
        <v>613724</v>
      </c>
      <c r="F338" s="82" t="s">
        <v>215</v>
      </c>
      <c r="G338" s="77" t="s">
        <v>465</v>
      </c>
      <c r="H338" s="83">
        <v>70000</v>
      </c>
      <c r="I338" s="84">
        <v>0</v>
      </c>
      <c r="J338" s="84">
        <v>0</v>
      </c>
      <c r="K338" s="83">
        <v>70000</v>
      </c>
      <c r="L338" s="83">
        <f t="shared" si="66"/>
        <v>100</v>
      </c>
      <c r="M338" s="83" t="e">
        <f t="shared" si="65"/>
        <v>#DIV/0!</v>
      </c>
      <c r="N338" s="85">
        <f t="shared" si="67"/>
        <v>4.3777273241229287E-3</v>
      </c>
    </row>
    <row r="339" spans="1:14" ht="24" customHeight="1">
      <c r="A339" s="72" t="s">
        <v>180</v>
      </c>
      <c r="B339" s="72" t="s">
        <v>167</v>
      </c>
      <c r="C339" s="72" t="s">
        <v>169</v>
      </c>
      <c r="D339" s="87" t="s">
        <v>236</v>
      </c>
      <c r="E339" s="81">
        <v>613724</v>
      </c>
      <c r="F339" s="82" t="s">
        <v>215</v>
      </c>
      <c r="G339" s="349" t="s">
        <v>578</v>
      </c>
      <c r="H339" s="83">
        <v>100000</v>
      </c>
      <c r="I339" s="84">
        <v>0</v>
      </c>
      <c r="J339" s="84">
        <v>100000</v>
      </c>
      <c r="K339" s="146">
        <v>415350</v>
      </c>
      <c r="L339" s="83">
        <f t="shared" si="66"/>
        <v>415.35</v>
      </c>
      <c r="M339" s="83">
        <f t="shared" si="65"/>
        <v>4.1535000000000002</v>
      </c>
      <c r="N339" s="85">
        <f t="shared" si="67"/>
        <v>2.5975557772492264E-2</v>
      </c>
    </row>
    <row r="340" spans="1:14" ht="15.75" customHeight="1">
      <c r="A340" s="72" t="s">
        <v>180</v>
      </c>
      <c r="B340" s="72" t="s">
        <v>167</v>
      </c>
      <c r="C340" s="72" t="s">
        <v>169</v>
      </c>
      <c r="D340" s="87" t="s">
        <v>236</v>
      </c>
      <c r="E340" s="81">
        <v>613724</v>
      </c>
      <c r="F340" s="82" t="s">
        <v>215</v>
      </c>
      <c r="G340" s="77" t="s">
        <v>466</v>
      </c>
      <c r="H340" s="83">
        <v>7000</v>
      </c>
      <c r="I340" s="84">
        <v>6932.68</v>
      </c>
      <c r="J340" s="84">
        <v>7000</v>
      </c>
      <c r="K340" s="83">
        <v>0</v>
      </c>
      <c r="L340" s="83">
        <f t="shared" ref="L340" si="68">K340/H340*100</f>
        <v>0</v>
      </c>
      <c r="M340" s="83">
        <f t="shared" si="65"/>
        <v>0</v>
      </c>
      <c r="N340" s="85">
        <f t="shared" si="67"/>
        <v>0</v>
      </c>
    </row>
    <row r="341" spans="1:14" ht="15.75" customHeight="1">
      <c r="A341" s="72" t="s">
        <v>180</v>
      </c>
      <c r="B341" s="72" t="s">
        <v>167</v>
      </c>
      <c r="C341" s="72" t="s">
        <v>169</v>
      </c>
      <c r="D341" s="87" t="s">
        <v>236</v>
      </c>
      <c r="E341" s="81">
        <v>613724</v>
      </c>
      <c r="F341" s="82" t="s">
        <v>215</v>
      </c>
      <c r="G341" s="144" t="s">
        <v>597</v>
      </c>
      <c r="H341" s="83">
        <v>0</v>
      </c>
      <c r="I341" s="84">
        <v>0</v>
      </c>
      <c r="J341" s="84">
        <v>0</v>
      </c>
      <c r="K341" s="146">
        <v>70000</v>
      </c>
      <c r="L341" s="83" t="e">
        <f>K341/H341*100</f>
        <v>#DIV/0!</v>
      </c>
      <c r="M341" s="83" t="e">
        <f t="shared" si="65"/>
        <v>#DIV/0!</v>
      </c>
      <c r="N341" s="85">
        <f t="shared" si="67"/>
        <v>4.3777273241229287E-3</v>
      </c>
    </row>
    <row r="342" spans="1:14" ht="24" customHeight="1">
      <c r="A342" s="72" t="s">
        <v>180</v>
      </c>
      <c r="B342" s="72" t="s">
        <v>167</v>
      </c>
      <c r="C342" s="72" t="s">
        <v>169</v>
      </c>
      <c r="D342" s="87" t="s">
        <v>508</v>
      </c>
      <c r="E342" s="81">
        <v>613724</v>
      </c>
      <c r="F342" s="82" t="s">
        <v>215</v>
      </c>
      <c r="G342" s="349" t="s">
        <v>598</v>
      </c>
      <c r="H342" s="83">
        <v>0</v>
      </c>
      <c r="I342" s="84">
        <v>0</v>
      </c>
      <c r="J342" s="84">
        <v>0</v>
      </c>
      <c r="K342" s="146">
        <v>40000</v>
      </c>
      <c r="L342" s="83" t="e">
        <f t="shared" ref="L342:L343" si="69">K342/H342*100</f>
        <v>#DIV/0!</v>
      </c>
      <c r="M342" s="83" t="e">
        <f t="shared" si="65"/>
        <v>#DIV/0!</v>
      </c>
      <c r="N342" s="85">
        <f t="shared" si="67"/>
        <v>2.5015584709273879E-3</v>
      </c>
    </row>
    <row r="343" spans="1:14" ht="15" customHeight="1">
      <c r="A343" s="72" t="s">
        <v>180</v>
      </c>
      <c r="B343" s="72" t="s">
        <v>167</v>
      </c>
      <c r="C343" s="72" t="s">
        <v>169</v>
      </c>
      <c r="D343" s="87" t="s">
        <v>508</v>
      </c>
      <c r="E343" s="81">
        <v>613724</v>
      </c>
      <c r="F343" s="82" t="s">
        <v>215</v>
      </c>
      <c r="G343" s="144" t="s">
        <v>582</v>
      </c>
      <c r="H343" s="83">
        <v>0</v>
      </c>
      <c r="I343" s="84">
        <v>0</v>
      </c>
      <c r="J343" s="84">
        <v>0</v>
      </c>
      <c r="K343" s="146">
        <v>45000</v>
      </c>
      <c r="L343" s="83" t="e">
        <f t="shared" si="69"/>
        <v>#DIV/0!</v>
      </c>
      <c r="M343" s="83" t="e">
        <f t="shared" si="65"/>
        <v>#DIV/0!</v>
      </c>
      <c r="N343" s="85">
        <f t="shared" si="67"/>
        <v>2.8142532797933114E-3</v>
      </c>
    </row>
    <row r="344" spans="1:14" ht="16.5" customHeight="1">
      <c r="A344" s="72" t="s">
        <v>180</v>
      </c>
      <c r="B344" s="72" t="s">
        <v>167</v>
      </c>
      <c r="C344" s="72" t="s">
        <v>169</v>
      </c>
      <c r="D344" s="87" t="s">
        <v>236</v>
      </c>
      <c r="E344" s="81">
        <v>613724</v>
      </c>
      <c r="F344" s="82" t="s">
        <v>215</v>
      </c>
      <c r="G344" s="77" t="s">
        <v>467</v>
      </c>
      <c r="H344" s="83">
        <v>30000</v>
      </c>
      <c r="I344" s="84">
        <v>0</v>
      </c>
      <c r="J344" s="84">
        <v>30000</v>
      </c>
      <c r="K344" s="83">
        <v>0</v>
      </c>
      <c r="L344" s="83">
        <f t="shared" si="63"/>
        <v>0</v>
      </c>
      <c r="M344" s="83">
        <f t="shared" si="65"/>
        <v>0</v>
      </c>
      <c r="N344" s="85">
        <f t="shared" si="67"/>
        <v>0</v>
      </c>
    </row>
    <row r="345" spans="1:14" ht="16.5" customHeight="1">
      <c r="A345" s="72" t="s">
        <v>180</v>
      </c>
      <c r="B345" s="72" t="s">
        <v>167</v>
      </c>
      <c r="C345" s="72" t="s">
        <v>169</v>
      </c>
      <c r="D345" s="87" t="s">
        <v>236</v>
      </c>
      <c r="E345" s="81">
        <v>613724</v>
      </c>
      <c r="F345" s="82" t="s">
        <v>215</v>
      </c>
      <c r="G345" s="77" t="s">
        <v>599</v>
      </c>
      <c r="H345" s="83">
        <v>100000</v>
      </c>
      <c r="I345" s="84">
        <v>0</v>
      </c>
      <c r="J345" s="84">
        <v>0</v>
      </c>
      <c r="K345" s="83">
        <v>100000</v>
      </c>
      <c r="L345" s="83">
        <f t="shared" si="63"/>
        <v>100</v>
      </c>
      <c r="M345" s="83" t="e">
        <f t="shared" si="65"/>
        <v>#DIV/0!</v>
      </c>
      <c r="N345" s="85">
        <f t="shared" si="67"/>
        <v>6.253896177318469E-3</v>
      </c>
    </row>
    <row r="346" spans="1:14" ht="15.75" customHeight="1">
      <c r="A346" s="72" t="s">
        <v>180</v>
      </c>
      <c r="B346" s="72" t="s">
        <v>167</v>
      </c>
      <c r="C346" s="72" t="s">
        <v>169</v>
      </c>
      <c r="D346" s="87" t="s">
        <v>236</v>
      </c>
      <c r="E346" s="81">
        <v>613724</v>
      </c>
      <c r="F346" s="82" t="s">
        <v>215</v>
      </c>
      <c r="G346" s="86" t="s">
        <v>468</v>
      </c>
      <c r="H346" s="83">
        <v>5000</v>
      </c>
      <c r="I346" s="84">
        <v>0</v>
      </c>
      <c r="J346" s="84">
        <v>5000</v>
      </c>
      <c r="K346" s="83">
        <v>0</v>
      </c>
      <c r="L346" s="83">
        <f t="shared" si="63"/>
        <v>0</v>
      </c>
      <c r="M346" s="83">
        <f t="shared" si="65"/>
        <v>0</v>
      </c>
      <c r="N346" s="85">
        <f t="shared" si="67"/>
        <v>0</v>
      </c>
    </row>
    <row r="347" spans="1:14" ht="13.5" customHeight="1">
      <c r="A347" s="72" t="s">
        <v>180</v>
      </c>
      <c r="B347" s="72" t="s">
        <v>167</v>
      </c>
      <c r="C347" s="72" t="s">
        <v>169</v>
      </c>
      <c r="D347" s="87" t="s">
        <v>236</v>
      </c>
      <c r="E347" s="81">
        <v>613724</v>
      </c>
      <c r="F347" s="82" t="s">
        <v>215</v>
      </c>
      <c r="G347" s="77" t="s">
        <v>469</v>
      </c>
      <c r="H347" s="83">
        <v>100000</v>
      </c>
      <c r="I347" s="84">
        <v>0</v>
      </c>
      <c r="J347" s="84">
        <v>0</v>
      </c>
      <c r="K347" s="339">
        <v>160000</v>
      </c>
      <c r="L347" s="83">
        <f t="shared" si="63"/>
        <v>160</v>
      </c>
      <c r="M347" s="83" t="e">
        <f t="shared" si="65"/>
        <v>#DIV/0!</v>
      </c>
      <c r="N347" s="85">
        <f t="shared" si="67"/>
        <v>1.0006233883709552E-2</v>
      </c>
    </row>
    <row r="348" spans="1:14" ht="15.75" customHeight="1">
      <c r="A348" s="72" t="s">
        <v>180</v>
      </c>
      <c r="B348" s="72" t="s">
        <v>167</v>
      </c>
      <c r="C348" s="72" t="s">
        <v>169</v>
      </c>
      <c r="D348" s="87" t="s">
        <v>236</v>
      </c>
      <c r="E348" s="81">
        <v>613726</v>
      </c>
      <c r="F348" s="82" t="s">
        <v>215</v>
      </c>
      <c r="G348" s="77" t="s">
        <v>470</v>
      </c>
      <c r="H348" s="83">
        <v>433000</v>
      </c>
      <c r="I348" s="84">
        <v>0</v>
      </c>
      <c r="J348" s="84">
        <v>0</v>
      </c>
      <c r="K348" s="339">
        <v>437296</v>
      </c>
      <c r="L348" s="83">
        <f t="shared" si="63"/>
        <v>100.99214780600462</v>
      </c>
      <c r="M348" s="83" t="e">
        <f t="shared" si="65"/>
        <v>#DIV/0!</v>
      </c>
      <c r="N348" s="85">
        <f t="shared" si="67"/>
        <v>2.7348037827566573E-2</v>
      </c>
    </row>
    <row r="349" spans="1:14" ht="26.25" customHeight="1">
      <c r="A349" s="72" t="s">
        <v>180</v>
      </c>
      <c r="B349" s="72" t="s">
        <v>167</v>
      </c>
      <c r="C349" s="72" t="s">
        <v>169</v>
      </c>
      <c r="D349" s="87" t="s">
        <v>126</v>
      </c>
      <c r="E349" s="81">
        <v>613728</v>
      </c>
      <c r="F349" s="82" t="s">
        <v>215</v>
      </c>
      <c r="G349" s="86" t="s">
        <v>600</v>
      </c>
      <c r="H349" s="83">
        <v>60000</v>
      </c>
      <c r="I349" s="84">
        <v>0</v>
      </c>
      <c r="J349" s="84">
        <v>0</v>
      </c>
      <c r="K349" s="83">
        <v>60000</v>
      </c>
      <c r="L349" s="83">
        <f t="shared" si="63"/>
        <v>100</v>
      </c>
      <c r="M349" s="83" t="e">
        <f t="shared" si="65"/>
        <v>#DIV/0!</v>
      </c>
      <c r="N349" s="85">
        <f t="shared" si="67"/>
        <v>3.7523377063910816E-3</v>
      </c>
    </row>
    <row r="350" spans="1:14" ht="16.5" customHeight="1">
      <c r="A350" s="72" t="s">
        <v>180</v>
      </c>
      <c r="B350" s="72" t="s">
        <v>167</v>
      </c>
      <c r="C350" s="72" t="s">
        <v>169</v>
      </c>
      <c r="D350" s="87" t="s">
        <v>126</v>
      </c>
      <c r="E350" s="81">
        <v>613729</v>
      </c>
      <c r="F350" s="82" t="s">
        <v>215</v>
      </c>
      <c r="G350" s="144" t="s">
        <v>471</v>
      </c>
      <c r="H350" s="83">
        <v>200000</v>
      </c>
      <c r="I350" s="84">
        <v>45719.46</v>
      </c>
      <c r="J350" s="84">
        <v>100000</v>
      </c>
      <c r="K350" s="339">
        <v>356700</v>
      </c>
      <c r="L350" s="83">
        <f t="shared" ref="L350:L357" si="70">K350/H350*100</f>
        <v>178.35000000000002</v>
      </c>
      <c r="M350" s="83">
        <f t="shared" si="65"/>
        <v>3.5670000000000002</v>
      </c>
      <c r="N350" s="85">
        <f t="shared" si="67"/>
        <v>2.230764766449498E-2</v>
      </c>
    </row>
    <row r="351" spans="1:14" ht="15" customHeight="1">
      <c r="A351" s="72" t="s">
        <v>180</v>
      </c>
      <c r="B351" s="72" t="s">
        <v>167</v>
      </c>
      <c r="C351" s="72" t="s">
        <v>169</v>
      </c>
      <c r="D351" s="80" t="s">
        <v>130</v>
      </c>
      <c r="E351" s="81">
        <v>613729</v>
      </c>
      <c r="F351" s="82" t="s">
        <v>215</v>
      </c>
      <c r="G351" s="77" t="s">
        <v>472</v>
      </c>
      <c r="H351" s="83">
        <v>15000</v>
      </c>
      <c r="I351" s="84">
        <v>13591.68</v>
      </c>
      <c r="J351" s="84">
        <v>15000</v>
      </c>
      <c r="K351" s="83">
        <v>15000</v>
      </c>
      <c r="L351" s="83">
        <f t="shared" si="70"/>
        <v>100</v>
      </c>
      <c r="M351" s="83">
        <f t="shared" si="65"/>
        <v>1</v>
      </c>
      <c r="N351" s="85">
        <f t="shared" si="67"/>
        <v>9.380844265977704E-4</v>
      </c>
    </row>
    <row r="352" spans="1:14" ht="16.5" customHeight="1">
      <c r="A352" s="72" t="s">
        <v>180</v>
      </c>
      <c r="B352" s="72" t="s">
        <v>167</v>
      </c>
      <c r="C352" s="72" t="s">
        <v>169</v>
      </c>
      <c r="D352" s="80" t="s">
        <v>126</v>
      </c>
      <c r="E352" s="81">
        <v>613729</v>
      </c>
      <c r="F352" s="82" t="s">
        <v>215</v>
      </c>
      <c r="G352" s="77" t="s">
        <v>473</v>
      </c>
      <c r="H352" s="83">
        <v>230000</v>
      </c>
      <c r="I352" s="84">
        <v>197482.01</v>
      </c>
      <c r="J352" s="84">
        <v>197482</v>
      </c>
      <c r="K352" s="83">
        <v>0</v>
      </c>
      <c r="L352" s="83">
        <f t="shared" si="70"/>
        <v>0</v>
      </c>
      <c r="M352" s="83">
        <f t="shared" si="65"/>
        <v>0</v>
      </c>
      <c r="N352" s="85">
        <f t="shared" si="67"/>
        <v>0</v>
      </c>
    </row>
    <row r="353" spans="1:14" ht="14.25" customHeight="1">
      <c r="A353" s="72" t="s">
        <v>180</v>
      </c>
      <c r="B353" s="72" t="s">
        <v>167</v>
      </c>
      <c r="C353" s="72" t="s">
        <v>169</v>
      </c>
      <c r="D353" s="80" t="s">
        <v>216</v>
      </c>
      <c r="E353" s="81">
        <v>613813</v>
      </c>
      <c r="F353" s="82" t="s">
        <v>215</v>
      </c>
      <c r="G353" s="86" t="s">
        <v>93</v>
      </c>
      <c r="H353" s="83">
        <v>3400</v>
      </c>
      <c r="I353" s="84">
        <v>1519</v>
      </c>
      <c r="J353" s="84">
        <v>3400</v>
      </c>
      <c r="K353" s="83">
        <v>3400</v>
      </c>
      <c r="L353" s="83">
        <f t="shared" si="70"/>
        <v>100</v>
      </c>
      <c r="M353" s="83">
        <f t="shared" si="65"/>
        <v>1</v>
      </c>
      <c r="N353" s="85">
        <f t="shared" si="67"/>
        <v>2.1263247002882796E-4</v>
      </c>
    </row>
    <row r="354" spans="1:14" ht="15.75" customHeight="1">
      <c r="A354" s="72" t="s">
        <v>180</v>
      </c>
      <c r="B354" s="72" t="s">
        <v>167</v>
      </c>
      <c r="C354" s="72" t="s">
        <v>169</v>
      </c>
      <c r="D354" s="80" t="s">
        <v>216</v>
      </c>
      <c r="E354" s="81">
        <v>613814</v>
      </c>
      <c r="F354" s="82" t="s">
        <v>215</v>
      </c>
      <c r="G354" s="86" t="s">
        <v>299</v>
      </c>
      <c r="H354" s="83">
        <v>1440</v>
      </c>
      <c r="I354" s="84">
        <v>1365.15</v>
      </c>
      <c r="J354" s="84">
        <v>1440</v>
      </c>
      <c r="K354" s="83">
        <v>1440</v>
      </c>
      <c r="L354" s="83">
        <f t="shared" si="70"/>
        <v>100</v>
      </c>
      <c r="M354" s="83">
        <f t="shared" si="65"/>
        <v>1</v>
      </c>
      <c r="N354" s="85">
        <f t="shared" si="67"/>
        <v>9.0056104953385954E-5</v>
      </c>
    </row>
    <row r="355" spans="1:14" ht="13.5" customHeight="1">
      <c r="A355" s="72" t="s">
        <v>180</v>
      </c>
      <c r="B355" s="72" t="s">
        <v>167</v>
      </c>
      <c r="C355" s="72" t="s">
        <v>169</v>
      </c>
      <c r="D355" s="87" t="s">
        <v>216</v>
      </c>
      <c r="E355" s="81">
        <v>613914</v>
      </c>
      <c r="F355" s="82" t="s">
        <v>215</v>
      </c>
      <c r="G355" s="77" t="s">
        <v>96</v>
      </c>
      <c r="H355" s="83">
        <v>1000</v>
      </c>
      <c r="I355" s="84">
        <v>796.5</v>
      </c>
      <c r="J355" s="84">
        <v>1000</v>
      </c>
      <c r="K355" s="83">
        <v>1000</v>
      </c>
      <c r="L355" s="83">
        <f t="shared" si="70"/>
        <v>100</v>
      </c>
      <c r="M355" s="83">
        <f t="shared" si="65"/>
        <v>1</v>
      </c>
      <c r="N355" s="85">
        <f t="shared" si="67"/>
        <v>6.2538961773184697E-5</v>
      </c>
    </row>
    <row r="356" spans="1:14" ht="15.75" customHeight="1">
      <c r="A356" s="72" t="s">
        <v>180</v>
      </c>
      <c r="B356" s="72" t="s">
        <v>167</v>
      </c>
      <c r="C356" s="72" t="s">
        <v>169</v>
      </c>
      <c r="D356" s="87" t="s">
        <v>216</v>
      </c>
      <c r="E356" s="81">
        <v>613949</v>
      </c>
      <c r="F356" s="82" t="s">
        <v>215</v>
      </c>
      <c r="G356" s="77" t="s">
        <v>474</v>
      </c>
      <c r="H356" s="83">
        <v>3000</v>
      </c>
      <c r="I356" s="84">
        <v>0</v>
      </c>
      <c r="J356" s="84">
        <v>0</v>
      </c>
      <c r="K356" s="83">
        <v>3000</v>
      </c>
      <c r="L356" s="83">
        <f t="shared" si="70"/>
        <v>100</v>
      </c>
      <c r="M356" s="83" t="e">
        <f t="shared" si="65"/>
        <v>#DIV/0!</v>
      </c>
      <c r="N356" s="85">
        <f t="shared" si="67"/>
        <v>1.8761688531955409E-4</v>
      </c>
    </row>
    <row r="357" spans="1:14" ht="15.75" customHeight="1">
      <c r="A357" s="72" t="s">
        <v>180</v>
      </c>
      <c r="B357" s="72" t="s">
        <v>167</v>
      </c>
      <c r="C357" s="72" t="s">
        <v>169</v>
      </c>
      <c r="D357" s="87" t="s">
        <v>216</v>
      </c>
      <c r="E357" s="81">
        <v>613991</v>
      </c>
      <c r="F357" s="82" t="s">
        <v>215</v>
      </c>
      <c r="G357" s="77" t="s">
        <v>475</v>
      </c>
      <c r="H357" s="83">
        <v>10000</v>
      </c>
      <c r="I357" s="84">
        <v>1450.5</v>
      </c>
      <c r="J357" s="84">
        <v>10000</v>
      </c>
      <c r="K357" s="83">
        <v>10000</v>
      </c>
      <c r="L357" s="83">
        <f t="shared" si="70"/>
        <v>100</v>
      </c>
      <c r="M357" s="83">
        <f t="shared" si="65"/>
        <v>1</v>
      </c>
      <c r="N357" s="85">
        <f t="shared" si="67"/>
        <v>6.2538961773184697E-4</v>
      </c>
    </row>
    <row r="358" spans="1:14" ht="16.5" customHeight="1">
      <c r="A358" s="72" t="s">
        <v>180</v>
      </c>
      <c r="B358" s="72"/>
      <c r="C358" s="72"/>
      <c r="D358" s="87"/>
      <c r="E358" s="81"/>
      <c r="F358" s="82"/>
      <c r="G358" s="142" t="s">
        <v>476</v>
      </c>
      <c r="H358" s="143">
        <f>SUM(H359:H364)</f>
        <v>852600</v>
      </c>
      <c r="I358" s="143">
        <f t="shared" ref="I358" si="71">SUM(I359:I363)</f>
        <v>250932.18000000002</v>
      </c>
      <c r="J358" s="143">
        <f>SUM(J359:J364)</f>
        <v>423330</v>
      </c>
      <c r="K358" s="143">
        <f>SUM(K359:K364)</f>
        <v>736076</v>
      </c>
      <c r="L358" s="83"/>
      <c r="M358" s="83"/>
      <c r="N358" s="85"/>
    </row>
    <row r="359" spans="1:14" ht="14.25" customHeight="1">
      <c r="A359" s="72" t="s">
        <v>180</v>
      </c>
      <c r="B359" s="72" t="s">
        <v>167</v>
      </c>
      <c r="C359" s="72" t="s">
        <v>169</v>
      </c>
      <c r="D359" s="87" t="s">
        <v>236</v>
      </c>
      <c r="E359" s="81">
        <v>821111</v>
      </c>
      <c r="F359" s="82" t="s">
        <v>215</v>
      </c>
      <c r="G359" s="86" t="s">
        <v>107</v>
      </c>
      <c r="H359" s="83">
        <v>30000</v>
      </c>
      <c r="I359" s="84">
        <v>0</v>
      </c>
      <c r="J359" s="84">
        <v>0</v>
      </c>
      <c r="K359" s="83">
        <v>256076</v>
      </c>
      <c r="L359" s="83">
        <f t="shared" ref="L359:L364" si="72">K359/H359*100</f>
        <v>853.5866666666667</v>
      </c>
      <c r="M359" s="83" t="e">
        <f t="shared" si="65"/>
        <v>#DIV/0!</v>
      </c>
      <c r="N359" s="85">
        <f t="shared" ref="N359:N365" si="73">K359/K$390</f>
        <v>1.6014727175030045E-2</v>
      </c>
    </row>
    <row r="360" spans="1:14" ht="15.75" customHeight="1">
      <c r="A360" s="72" t="s">
        <v>180</v>
      </c>
      <c r="B360" s="72" t="s">
        <v>167</v>
      </c>
      <c r="C360" s="72" t="s">
        <v>169</v>
      </c>
      <c r="D360" s="87" t="s">
        <v>236</v>
      </c>
      <c r="E360" s="81">
        <v>821211</v>
      </c>
      <c r="F360" s="82" t="s">
        <v>215</v>
      </c>
      <c r="G360" s="86" t="s">
        <v>477</v>
      </c>
      <c r="H360" s="83">
        <v>600000</v>
      </c>
      <c r="I360" s="345">
        <v>230730.73</v>
      </c>
      <c r="J360" s="84">
        <v>230730</v>
      </c>
      <c r="K360" s="83">
        <v>370000</v>
      </c>
      <c r="L360" s="83">
        <f t="shared" si="72"/>
        <v>61.666666666666671</v>
      </c>
      <c r="M360" s="83">
        <f t="shared" si="65"/>
        <v>1.6036059463442118</v>
      </c>
      <c r="N360" s="85">
        <f t="shared" si="73"/>
        <v>2.3139415856078337E-2</v>
      </c>
    </row>
    <row r="361" spans="1:14" ht="13.5" customHeight="1">
      <c r="A361" s="72" t="s">
        <v>180</v>
      </c>
      <c r="B361" s="72" t="s">
        <v>167</v>
      </c>
      <c r="C361" s="72" t="s">
        <v>169</v>
      </c>
      <c r="D361" s="87" t="s">
        <v>236</v>
      </c>
      <c r="E361" s="81">
        <v>821211</v>
      </c>
      <c r="F361" s="82" t="s">
        <v>215</v>
      </c>
      <c r="G361" s="77" t="s">
        <v>478</v>
      </c>
      <c r="H361" s="83">
        <v>0</v>
      </c>
      <c r="I361" s="84">
        <v>0</v>
      </c>
      <c r="J361" s="84">
        <v>0</v>
      </c>
      <c r="K361" s="83">
        <v>70000</v>
      </c>
      <c r="L361" s="83" t="e">
        <f t="shared" si="72"/>
        <v>#DIV/0!</v>
      </c>
      <c r="M361" s="83" t="e">
        <f t="shared" si="65"/>
        <v>#DIV/0!</v>
      </c>
      <c r="N361" s="85">
        <f t="shared" si="73"/>
        <v>4.3777273241229287E-3</v>
      </c>
    </row>
    <row r="362" spans="1:14" ht="24.75" customHeight="1">
      <c r="A362" s="72" t="s">
        <v>180</v>
      </c>
      <c r="B362" s="72" t="s">
        <v>167</v>
      </c>
      <c r="C362" s="72" t="s">
        <v>169</v>
      </c>
      <c r="D362" s="87" t="s">
        <v>236</v>
      </c>
      <c r="E362" s="81">
        <v>821211</v>
      </c>
      <c r="F362" s="82" t="s">
        <v>215</v>
      </c>
      <c r="G362" s="86" t="s">
        <v>601</v>
      </c>
      <c r="H362" s="83">
        <v>100000</v>
      </c>
      <c r="I362" s="84">
        <v>20201.45</v>
      </c>
      <c r="J362" s="84">
        <v>100000</v>
      </c>
      <c r="K362" s="83">
        <v>0</v>
      </c>
      <c r="L362" s="83">
        <f t="shared" si="72"/>
        <v>0</v>
      </c>
      <c r="M362" s="83">
        <f t="shared" si="65"/>
        <v>0</v>
      </c>
      <c r="N362" s="85">
        <f t="shared" si="73"/>
        <v>0</v>
      </c>
    </row>
    <row r="363" spans="1:14" ht="15.75" customHeight="1">
      <c r="A363" s="72" t="s">
        <v>180</v>
      </c>
      <c r="B363" s="72" t="s">
        <v>167</v>
      </c>
      <c r="C363" s="72" t="s">
        <v>169</v>
      </c>
      <c r="D363" s="87" t="s">
        <v>236</v>
      </c>
      <c r="E363" s="81">
        <v>821211</v>
      </c>
      <c r="F363" s="82" t="s">
        <v>215</v>
      </c>
      <c r="G363" s="77" t="s">
        <v>479</v>
      </c>
      <c r="H363" s="83">
        <v>30000</v>
      </c>
      <c r="I363" s="84">
        <v>0</v>
      </c>
      <c r="J363" s="84">
        <v>0</v>
      </c>
      <c r="K363" s="83">
        <v>40000</v>
      </c>
      <c r="L363" s="83">
        <f t="shared" si="72"/>
        <v>133.33333333333331</v>
      </c>
      <c r="M363" s="83" t="e">
        <f t="shared" si="65"/>
        <v>#DIV/0!</v>
      </c>
      <c r="N363" s="85">
        <f t="shared" si="73"/>
        <v>2.5015584709273879E-3</v>
      </c>
    </row>
    <row r="364" spans="1:14" ht="15.75" customHeight="1">
      <c r="A364" s="72" t="s">
        <v>180</v>
      </c>
      <c r="B364" s="72" t="s">
        <v>167</v>
      </c>
      <c r="C364" s="72" t="s">
        <v>169</v>
      </c>
      <c r="D364" s="87" t="s">
        <v>508</v>
      </c>
      <c r="E364" s="81">
        <v>821321</v>
      </c>
      <c r="F364" s="82" t="s">
        <v>215</v>
      </c>
      <c r="G364" s="77" t="s">
        <v>537</v>
      </c>
      <c r="H364" s="83">
        <v>92600</v>
      </c>
      <c r="I364" s="84">
        <v>0</v>
      </c>
      <c r="J364" s="84">
        <v>92600</v>
      </c>
      <c r="K364" s="83">
        <v>0</v>
      </c>
      <c r="L364" s="83">
        <f t="shared" si="72"/>
        <v>0</v>
      </c>
      <c r="M364" s="83">
        <f t="shared" si="65"/>
        <v>0</v>
      </c>
      <c r="N364" s="85">
        <f t="shared" si="73"/>
        <v>0</v>
      </c>
    </row>
    <row r="365" spans="1:14" ht="12">
      <c r="A365" s="65"/>
      <c r="B365" s="65"/>
      <c r="C365" s="65"/>
      <c r="D365" s="87"/>
      <c r="E365" s="74"/>
      <c r="F365" s="88"/>
      <c r="G365" s="79" t="s">
        <v>480</v>
      </c>
      <c r="H365" s="78">
        <f>SUM(H301:H357)+H358</f>
        <v>4523086</v>
      </c>
      <c r="I365" s="78">
        <f t="shared" ref="I365:K365" si="74">SUM(I301:I357)+I358</f>
        <v>1311848.5199999998</v>
      </c>
      <c r="J365" s="78">
        <f>SUM(J301:J357)+J358</f>
        <v>2192796</v>
      </c>
      <c r="K365" s="78">
        <f t="shared" si="74"/>
        <v>5089032</v>
      </c>
      <c r="L365" s="78">
        <f t="shared" si="63"/>
        <v>112.51238645473467</v>
      </c>
      <c r="M365" s="83">
        <f t="shared" si="65"/>
        <v>2.3207959153519071</v>
      </c>
      <c r="N365" s="89">
        <f t="shared" si="73"/>
        <v>0.31826277771051364</v>
      </c>
    </row>
    <row r="366" spans="1:14" ht="12">
      <c r="A366" s="65"/>
      <c r="B366" s="65"/>
      <c r="C366" s="65"/>
      <c r="D366" s="87"/>
      <c r="E366" s="74"/>
      <c r="F366" s="88"/>
      <c r="G366" s="79" t="s">
        <v>525</v>
      </c>
      <c r="H366" s="74">
        <v>23</v>
      </c>
      <c r="I366" s="74">
        <v>23</v>
      </c>
      <c r="J366" s="74">
        <v>23</v>
      </c>
      <c r="K366" s="74">
        <v>24</v>
      </c>
      <c r="L366" s="78"/>
      <c r="M366" s="83"/>
      <c r="N366" s="89"/>
    </row>
    <row r="367" spans="1:14" ht="12">
      <c r="A367" s="51"/>
      <c r="B367" s="51"/>
      <c r="C367" s="51"/>
      <c r="D367" s="130"/>
      <c r="E367" s="108"/>
      <c r="F367" s="56"/>
      <c r="G367" s="108"/>
      <c r="H367" s="105"/>
      <c r="I367" s="105"/>
      <c r="J367" s="105"/>
      <c r="K367" s="105"/>
      <c r="L367" s="105"/>
      <c r="M367" s="324"/>
      <c r="N367" s="322"/>
    </row>
    <row r="368" spans="1:14" ht="12">
      <c r="A368" s="51"/>
      <c r="B368" s="51"/>
      <c r="C368" s="51"/>
      <c r="D368" s="130"/>
      <c r="E368" s="108"/>
      <c r="F368" s="56"/>
      <c r="G368" s="108"/>
      <c r="H368" s="105"/>
      <c r="I368" s="105"/>
      <c r="J368" s="105"/>
      <c r="K368" s="105"/>
      <c r="L368" s="105"/>
      <c r="M368" s="325"/>
      <c r="N368" s="106"/>
    </row>
    <row r="369" spans="1:14" ht="12">
      <c r="A369" s="51"/>
      <c r="B369" s="51"/>
      <c r="C369" s="51"/>
      <c r="D369" s="130"/>
      <c r="E369" s="108"/>
      <c r="F369" s="56"/>
      <c r="G369" s="108"/>
      <c r="H369" s="105"/>
      <c r="I369" s="105"/>
      <c r="J369" s="105"/>
      <c r="K369" s="105"/>
      <c r="L369" s="105"/>
      <c r="M369" s="325"/>
      <c r="N369" s="106"/>
    </row>
    <row r="370" spans="1:14" ht="12">
      <c r="A370" s="51"/>
      <c r="B370" s="51"/>
      <c r="C370" s="51"/>
      <c r="D370" s="130"/>
      <c r="E370" s="108"/>
      <c r="F370" s="56"/>
      <c r="G370" s="108"/>
      <c r="H370" s="105"/>
      <c r="I370" s="105"/>
      <c r="J370" s="105"/>
      <c r="K370" s="105"/>
      <c r="L370" s="105"/>
      <c r="M370" s="325"/>
      <c r="N370" s="106"/>
    </row>
    <row r="371" spans="1:14" ht="12">
      <c r="A371" s="133"/>
      <c r="B371" s="133"/>
      <c r="C371" s="133"/>
      <c r="D371" s="134"/>
      <c r="E371" s="135"/>
      <c r="F371" s="139"/>
      <c r="G371" s="135"/>
      <c r="H371" s="137"/>
      <c r="I371" s="137"/>
      <c r="J371" s="137"/>
      <c r="K371" s="137"/>
      <c r="L371" s="137"/>
      <c r="M371" s="323"/>
      <c r="N371" s="138"/>
    </row>
    <row r="372" spans="1:14" ht="26.25" customHeight="1">
      <c r="A372" s="92" t="s">
        <v>182</v>
      </c>
      <c r="B372" s="92" t="s">
        <v>183</v>
      </c>
      <c r="C372" s="93"/>
      <c r="D372" s="94"/>
      <c r="E372" s="95"/>
      <c r="F372" s="96"/>
      <c r="G372" s="104" t="s">
        <v>542</v>
      </c>
      <c r="H372" s="102"/>
      <c r="I372" s="103"/>
      <c r="J372" s="103"/>
      <c r="K372" s="102"/>
      <c r="L372" s="102"/>
      <c r="M372" s="83"/>
      <c r="N372" s="129"/>
    </row>
    <row r="373" spans="1:14" ht="12">
      <c r="A373" s="65"/>
      <c r="B373" s="65"/>
      <c r="C373" s="65"/>
      <c r="D373" s="87"/>
      <c r="E373" s="74">
        <v>610000</v>
      </c>
      <c r="F373" s="88"/>
      <c r="G373" s="79" t="s">
        <v>168</v>
      </c>
      <c r="H373" s="78"/>
      <c r="I373" s="90"/>
      <c r="J373" s="90"/>
      <c r="K373" s="78"/>
      <c r="L373" s="83"/>
      <c r="M373" s="83"/>
      <c r="N373" s="85"/>
    </row>
    <row r="374" spans="1:14" ht="16.5" customHeight="1">
      <c r="A374" s="72" t="s">
        <v>181</v>
      </c>
      <c r="B374" s="72" t="s">
        <v>167</v>
      </c>
      <c r="C374" s="72" t="s">
        <v>169</v>
      </c>
      <c r="D374" s="87" t="s">
        <v>509</v>
      </c>
      <c r="E374" s="76">
        <v>611110</v>
      </c>
      <c r="F374" s="82" t="s">
        <v>215</v>
      </c>
      <c r="G374" s="77" t="s">
        <v>172</v>
      </c>
      <c r="H374" s="83">
        <v>0</v>
      </c>
      <c r="I374" s="84">
        <v>0</v>
      </c>
      <c r="J374" s="84">
        <v>0</v>
      </c>
      <c r="K374" s="83">
        <v>59280</v>
      </c>
      <c r="L374" s="83" t="e">
        <f t="shared" si="63"/>
        <v>#DIV/0!</v>
      </c>
      <c r="M374" s="83" t="e">
        <f t="shared" si="65"/>
        <v>#DIV/0!</v>
      </c>
      <c r="N374" s="85">
        <f t="shared" ref="N374:N388" si="75">K374/K$390</f>
        <v>3.7073096539143886E-3</v>
      </c>
    </row>
    <row r="375" spans="1:14" ht="16.5" customHeight="1">
      <c r="A375" s="72" t="s">
        <v>181</v>
      </c>
      <c r="B375" s="72" t="s">
        <v>167</v>
      </c>
      <c r="C375" s="72" t="s">
        <v>169</v>
      </c>
      <c r="D375" s="87" t="s">
        <v>509</v>
      </c>
      <c r="E375" s="76">
        <v>611111</v>
      </c>
      <c r="F375" s="82" t="s">
        <v>215</v>
      </c>
      <c r="G375" s="77" t="s">
        <v>307</v>
      </c>
      <c r="H375" s="83">
        <v>42000</v>
      </c>
      <c r="I375" s="84">
        <v>17760.2</v>
      </c>
      <c r="J375" s="84">
        <v>27460</v>
      </c>
      <c r="K375" s="83"/>
      <c r="L375" s="83">
        <f t="shared" si="63"/>
        <v>0</v>
      </c>
      <c r="M375" s="83">
        <f t="shared" si="65"/>
        <v>0</v>
      </c>
      <c r="N375" s="85">
        <f t="shared" si="75"/>
        <v>0</v>
      </c>
    </row>
    <row r="376" spans="1:14" ht="15" customHeight="1">
      <c r="A376" s="72" t="s">
        <v>181</v>
      </c>
      <c r="B376" s="72" t="s">
        <v>167</v>
      </c>
      <c r="C376" s="72" t="s">
        <v>169</v>
      </c>
      <c r="D376" s="87" t="s">
        <v>509</v>
      </c>
      <c r="E376" s="76">
        <v>611130</v>
      </c>
      <c r="F376" s="82" t="s">
        <v>215</v>
      </c>
      <c r="G376" s="77" t="s">
        <v>308</v>
      </c>
      <c r="H376" s="83">
        <v>0</v>
      </c>
      <c r="I376" s="84">
        <v>0</v>
      </c>
      <c r="J376" s="84">
        <v>0</v>
      </c>
      <c r="K376" s="83">
        <v>26640</v>
      </c>
      <c r="L376" s="83" t="e">
        <f t="shared" si="63"/>
        <v>#DIV/0!</v>
      </c>
      <c r="M376" s="83" t="e">
        <f t="shared" si="65"/>
        <v>#DIV/0!</v>
      </c>
      <c r="N376" s="85">
        <f t="shared" si="75"/>
        <v>1.6660379416376402E-3</v>
      </c>
    </row>
    <row r="377" spans="1:14" ht="15" customHeight="1">
      <c r="A377" s="72" t="s">
        <v>181</v>
      </c>
      <c r="B377" s="72" t="s">
        <v>167</v>
      </c>
      <c r="C377" s="72" t="s">
        <v>169</v>
      </c>
      <c r="D377" s="87" t="s">
        <v>509</v>
      </c>
      <c r="E377" s="76">
        <v>611131</v>
      </c>
      <c r="F377" s="82" t="s">
        <v>215</v>
      </c>
      <c r="G377" s="77" t="s">
        <v>309</v>
      </c>
      <c r="H377" s="83">
        <v>18870</v>
      </c>
      <c r="I377" s="84">
        <v>7979.24</v>
      </c>
      <c r="J377" s="84">
        <v>12338</v>
      </c>
      <c r="K377" s="83">
        <v>0</v>
      </c>
      <c r="L377" s="83">
        <f t="shared" si="63"/>
        <v>0</v>
      </c>
      <c r="M377" s="83">
        <f t="shared" si="65"/>
        <v>0</v>
      </c>
      <c r="N377" s="85">
        <f t="shared" si="75"/>
        <v>0</v>
      </c>
    </row>
    <row r="378" spans="1:14" ht="15" customHeight="1">
      <c r="A378" s="72" t="s">
        <v>181</v>
      </c>
      <c r="B378" s="72" t="s">
        <v>167</v>
      </c>
      <c r="C378" s="72" t="s">
        <v>169</v>
      </c>
      <c r="D378" s="87" t="s">
        <v>509</v>
      </c>
      <c r="E378" s="76">
        <v>611211</v>
      </c>
      <c r="F378" s="82" t="s">
        <v>215</v>
      </c>
      <c r="G378" s="77" t="s">
        <v>310</v>
      </c>
      <c r="H378" s="83">
        <v>1500</v>
      </c>
      <c r="I378" s="84">
        <v>470.7</v>
      </c>
      <c r="J378" s="84">
        <v>831</v>
      </c>
      <c r="K378" s="83">
        <v>1500</v>
      </c>
      <c r="L378" s="83">
        <f t="shared" si="63"/>
        <v>100</v>
      </c>
      <c r="M378" s="83">
        <f t="shared" si="65"/>
        <v>1.8050541516245486</v>
      </c>
      <c r="N378" s="85">
        <f t="shared" si="75"/>
        <v>9.3808442659777045E-5</v>
      </c>
    </row>
    <row r="379" spans="1:14" ht="15" customHeight="1">
      <c r="A379" s="72" t="s">
        <v>181</v>
      </c>
      <c r="B379" s="72" t="s">
        <v>167</v>
      </c>
      <c r="C379" s="72" t="s">
        <v>169</v>
      </c>
      <c r="D379" s="87" t="s">
        <v>509</v>
      </c>
      <c r="E379" s="76">
        <v>611221</v>
      </c>
      <c r="F379" s="82" t="s">
        <v>215</v>
      </c>
      <c r="G379" s="77" t="s">
        <v>289</v>
      </c>
      <c r="H379" s="83">
        <v>3168</v>
      </c>
      <c r="I379" s="84">
        <v>1073.25</v>
      </c>
      <c r="J379" s="84">
        <v>1862</v>
      </c>
      <c r="K379" s="83">
        <v>6860</v>
      </c>
      <c r="L379" s="83">
        <f t="shared" si="63"/>
        <v>216.54040404040401</v>
      </c>
      <c r="M379" s="83">
        <f t="shared" si="65"/>
        <v>3.6842105263157894</v>
      </c>
      <c r="N379" s="85">
        <f t="shared" si="75"/>
        <v>4.2901727776404702E-4</v>
      </c>
    </row>
    <row r="380" spans="1:14" ht="13.5" customHeight="1">
      <c r="A380" s="72" t="s">
        <v>181</v>
      </c>
      <c r="B380" s="72" t="s">
        <v>167</v>
      </c>
      <c r="C380" s="72" t="s">
        <v>169</v>
      </c>
      <c r="D380" s="87" t="s">
        <v>509</v>
      </c>
      <c r="E380" s="76">
        <v>611224</v>
      </c>
      <c r="F380" s="82" t="s">
        <v>215</v>
      </c>
      <c r="G380" s="77" t="s">
        <v>75</v>
      </c>
      <c r="H380" s="83">
        <v>600</v>
      </c>
      <c r="I380" s="84">
        <v>600</v>
      </c>
      <c r="J380" s="84">
        <v>600</v>
      </c>
      <c r="K380" s="83">
        <v>1300</v>
      </c>
      <c r="L380" s="83">
        <f t="shared" si="63"/>
        <v>216.66666666666666</v>
      </c>
      <c r="M380" s="83">
        <f t="shared" si="65"/>
        <v>2.1666666666666665</v>
      </c>
      <c r="N380" s="85">
        <f t="shared" si="75"/>
        <v>8.1300650305140098E-5</v>
      </c>
    </row>
    <row r="381" spans="1:14" ht="15" customHeight="1">
      <c r="A381" s="72" t="s">
        <v>181</v>
      </c>
      <c r="B381" s="72" t="s">
        <v>167</v>
      </c>
      <c r="C381" s="72" t="s">
        <v>169</v>
      </c>
      <c r="D381" s="87" t="s">
        <v>509</v>
      </c>
      <c r="E381" s="76">
        <v>611225</v>
      </c>
      <c r="F381" s="82" t="s">
        <v>215</v>
      </c>
      <c r="G381" s="77" t="s">
        <v>481</v>
      </c>
      <c r="H381" s="83">
        <v>15000</v>
      </c>
      <c r="I381" s="84">
        <v>14696.1</v>
      </c>
      <c r="J381" s="84">
        <v>14696.1</v>
      </c>
      <c r="K381" s="83">
        <v>0</v>
      </c>
      <c r="L381" s="83">
        <f t="shared" si="63"/>
        <v>0</v>
      </c>
      <c r="M381" s="83">
        <f t="shared" si="65"/>
        <v>0</v>
      </c>
      <c r="N381" s="85">
        <f t="shared" si="75"/>
        <v>0</v>
      </c>
    </row>
    <row r="382" spans="1:14" ht="14.25" customHeight="1">
      <c r="A382" s="72" t="s">
        <v>181</v>
      </c>
      <c r="B382" s="72" t="s">
        <v>167</v>
      </c>
      <c r="C382" s="72" t="s">
        <v>169</v>
      </c>
      <c r="D382" s="87" t="s">
        <v>509</v>
      </c>
      <c r="E382" s="76">
        <v>612110</v>
      </c>
      <c r="F382" s="82" t="s">
        <v>215</v>
      </c>
      <c r="G382" s="77" t="s">
        <v>292</v>
      </c>
      <c r="H382" s="83">
        <v>0</v>
      </c>
      <c r="I382" s="84">
        <v>0</v>
      </c>
      <c r="J382" s="84">
        <v>0</v>
      </c>
      <c r="K382" s="83">
        <v>9020</v>
      </c>
      <c r="L382" s="83" t="e">
        <f t="shared" si="63"/>
        <v>#DIV/0!</v>
      </c>
      <c r="M382" s="83" t="e">
        <f t="shared" si="65"/>
        <v>#DIV/0!</v>
      </c>
      <c r="N382" s="85">
        <f t="shared" si="75"/>
        <v>5.6410143519412597E-4</v>
      </c>
    </row>
    <row r="383" spans="1:14" ht="12.75" customHeight="1">
      <c r="A383" s="72" t="s">
        <v>181</v>
      </c>
      <c r="B383" s="72" t="s">
        <v>167</v>
      </c>
      <c r="C383" s="72" t="s">
        <v>169</v>
      </c>
      <c r="D383" s="87" t="s">
        <v>509</v>
      </c>
      <c r="E383" s="76">
        <v>612111</v>
      </c>
      <c r="F383" s="82" t="s">
        <v>215</v>
      </c>
      <c r="G383" s="86" t="s">
        <v>77</v>
      </c>
      <c r="H383" s="83">
        <v>6937</v>
      </c>
      <c r="I383" s="84">
        <v>2783.92</v>
      </c>
      <c r="J383" s="84">
        <v>4179</v>
      </c>
      <c r="K383" s="83">
        <v>0</v>
      </c>
      <c r="L383" s="83">
        <f t="shared" si="63"/>
        <v>0</v>
      </c>
      <c r="M383" s="83">
        <f t="shared" si="65"/>
        <v>0</v>
      </c>
      <c r="N383" s="85">
        <f t="shared" si="75"/>
        <v>0</v>
      </c>
    </row>
    <row r="384" spans="1:14" ht="14.25" customHeight="1">
      <c r="A384" s="72" t="s">
        <v>181</v>
      </c>
      <c r="B384" s="72" t="s">
        <v>167</v>
      </c>
      <c r="C384" s="72" t="s">
        <v>169</v>
      </c>
      <c r="D384" s="87" t="s">
        <v>509</v>
      </c>
      <c r="E384" s="76">
        <v>613115</v>
      </c>
      <c r="F384" s="82" t="s">
        <v>215</v>
      </c>
      <c r="G384" s="77" t="s">
        <v>297</v>
      </c>
      <c r="H384" s="83">
        <v>500</v>
      </c>
      <c r="I384" s="84">
        <v>0</v>
      </c>
      <c r="J384" s="84">
        <v>250</v>
      </c>
      <c r="K384" s="83">
        <v>500</v>
      </c>
      <c r="L384" s="83">
        <f t="shared" si="63"/>
        <v>100</v>
      </c>
      <c r="M384" s="83">
        <f t="shared" si="65"/>
        <v>2</v>
      </c>
      <c r="N384" s="85">
        <f t="shared" si="75"/>
        <v>3.1269480886592348E-5</v>
      </c>
    </row>
    <row r="385" spans="1:14" ht="13.5" customHeight="1">
      <c r="A385" s="72" t="s">
        <v>181</v>
      </c>
      <c r="B385" s="72" t="s">
        <v>167</v>
      </c>
      <c r="C385" s="72" t="s">
        <v>169</v>
      </c>
      <c r="D385" s="87" t="s">
        <v>509</v>
      </c>
      <c r="E385" s="81">
        <v>613417</v>
      </c>
      <c r="F385" s="82" t="s">
        <v>215</v>
      </c>
      <c r="G385" s="77" t="s">
        <v>86</v>
      </c>
      <c r="H385" s="83">
        <v>1000</v>
      </c>
      <c r="I385" s="84">
        <v>124.69</v>
      </c>
      <c r="J385" s="84">
        <v>500</v>
      </c>
      <c r="K385" s="83">
        <v>1000</v>
      </c>
      <c r="L385" s="83">
        <f t="shared" ref="L385:L387" si="76">K385/H385*100</f>
        <v>100</v>
      </c>
      <c r="M385" s="83">
        <f t="shared" si="65"/>
        <v>2</v>
      </c>
      <c r="N385" s="85">
        <f t="shared" si="75"/>
        <v>6.2538961773184697E-5</v>
      </c>
    </row>
    <row r="386" spans="1:14" ht="15" customHeight="1">
      <c r="A386" s="72" t="s">
        <v>181</v>
      </c>
      <c r="B386" s="72" t="s">
        <v>167</v>
      </c>
      <c r="C386" s="72" t="s">
        <v>169</v>
      </c>
      <c r="D386" s="87" t="s">
        <v>509</v>
      </c>
      <c r="E386" s="81">
        <v>613814</v>
      </c>
      <c r="F386" s="82" t="s">
        <v>215</v>
      </c>
      <c r="G386" s="77" t="s">
        <v>299</v>
      </c>
      <c r="H386" s="83">
        <v>120</v>
      </c>
      <c r="I386" s="84">
        <v>59.4</v>
      </c>
      <c r="J386" s="84">
        <v>120</v>
      </c>
      <c r="K386" s="83">
        <v>120</v>
      </c>
      <c r="L386" s="83">
        <f t="shared" si="76"/>
        <v>100</v>
      </c>
      <c r="M386" s="83">
        <f t="shared" si="65"/>
        <v>1</v>
      </c>
      <c r="N386" s="85">
        <f t="shared" si="75"/>
        <v>7.5046754127821634E-6</v>
      </c>
    </row>
    <row r="387" spans="1:14" ht="15" customHeight="1">
      <c r="A387" s="72" t="s">
        <v>181</v>
      </c>
      <c r="B387" s="72" t="s">
        <v>167</v>
      </c>
      <c r="C387" s="72" t="s">
        <v>169</v>
      </c>
      <c r="D387" s="87" t="s">
        <v>509</v>
      </c>
      <c r="E387" s="81">
        <v>613914</v>
      </c>
      <c r="F387" s="82" t="s">
        <v>215</v>
      </c>
      <c r="G387" s="77" t="s">
        <v>482</v>
      </c>
      <c r="H387" s="83">
        <v>1000</v>
      </c>
      <c r="I387" s="84">
        <v>392</v>
      </c>
      <c r="J387" s="84">
        <v>1000</v>
      </c>
      <c r="K387" s="83">
        <v>1000</v>
      </c>
      <c r="L387" s="83">
        <f t="shared" si="76"/>
        <v>100</v>
      </c>
      <c r="M387" s="83">
        <f t="shared" si="65"/>
        <v>1</v>
      </c>
      <c r="N387" s="85">
        <f t="shared" si="75"/>
        <v>6.2538961773184697E-5</v>
      </c>
    </row>
    <row r="388" spans="1:14" ht="12">
      <c r="A388" s="93"/>
      <c r="B388" s="93"/>
      <c r="C388" s="93"/>
      <c r="D388" s="87"/>
      <c r="E388" s="74"/>
      <c r="F388" s="88"/>
      <c r="G388" s="104" t="s">
        <v>483</v>
      </c>
      <c r="H388" s="78">
        <f>SUM(H374:H387)</f>
        <v>90695</v>
      </c>
      <c r="I388" s="78">
        <f>SUM(I374:I387)</f>
        <v>45939.500000000007</v>
      </c>
      <c r="J388" s="78">
        <f t="shared" ref="J388:K388" si="77">SUM(J374:J387)</f>
        <v>63836.1</v>
      </c>
      <c r="K388" s="78">
        <f t="shared" si="77"/>
        <v>107220</v>
      </c>
      <c r="L388" s="78">
        <f t="shared" ref="L388" si="78">K388/H388*100</f>
        <v>118.22040906334416</v>
      </c>
      <c r="M388" s="83">
        <f t="shared" si="65"/>
        <v>1.6796138861866561</v>
      </c>
      <c r="N388" s="89">
        <f t="shared" si="75"/>
        <v>6.7054274813208633E-3</v>
      </c>
    </row>
    <row r="389" spans="1:14" ht="12">
      <c r="A389" s="65"/>
      <c r="B389" s="65"/>
      <c r="C389" s="65"/>
      <c r="D389" s="87"/>
      <c r="E389" s="74"/>
      <c r="F389" s="88"/>
      <c r="G389" s="144" t="s">
        <v>525</v>
      </c>
      <c r="H389" s="145">
        <v>1</v>
      </c>
      <c r="I389" s="145">
        <v>1</v>
      </c>
      <c r="J389" s="145">
        <v>1</v>
      </c>
      <c r="K389" s="145">
        <v>2</v>
      </c>
      <c r="L389" s="146"/>
      <c r="M389" s="146"/>
      <c r="N389" s="147"/>
    </row>
    <row r="390" spans="1:14" ht="12">
      <c r="A390" s="65"/>
      <c r="B390" s="65"/>
      <c r="C390" s="65"/>
      <c r="D390" s="73"/>
      <c r="E390" s="74"/>
      <c r="F390" s="70"/>
      <c r="G390" s="303" t="s">
        <v>184</v>
      </c>
      <c r="H390" s="115">
        <f>H34+H168+H223+H250+H365+H388+H295</f>
        <v>14548356</v>
      </c>
      <c r="I390" s="115">
        <f>I34+I168+I223+I250+I365+I388+I295</f>
        <v>6312170.1499999994</v>
      </c>
      <c r="J390" s="115">
        <f>J34+J168+J223+J250+J365+J388+J295</f>
        <v>10787499.09</v>
      </c>
      <c r="K390" s="115">
        <f>K34+K168+K223+K250+K365+K388+K295</f>
        <v>15990032</v>
      </c>
      <c r="L390" s="329">
        <f t="shared" ref="L390" si="79">K390/H390*100</f>
        <v>109.90954579335288</v>
      </c>
      <c r="M390" s="329"/>
      <c r="N390" s="330">
        <f>K390/K$390</f>
        <v>1</v>
      </c>
    </row>
    <row r="391" spans="1:14" ht="12">
      <c r="A391" s="93"/>
      <c r="B391" s="93"/>
      <c r="C391" s="93"/>
      <c r="D391" s="73"/>
      <c r="E391" s="74"/>
      <c r="F391" s="70"/>
      <c r="G391" s="148" t="s">
        <v>538</v>
      </c>
      <c r="H391" s="331">
        <f>H35+H169+H224+H251+H296+H366+H389</f>
        <v>103</v>
      </c>
      <c r="I391" s="331">
        <f>I35+I169+I224+I251+I296+I366+I389</f>
        <v>98</v>
      </c>
      <c r="J391" s="331">
        <f>J35+J169+J224+J251+J296+J366+J389</f>
        <v>98</v>
      </c>
      <c r="K391" s="331">
        <f>K35+K169+K224+K251+K296+K366+K389</f>
        <v>107</v>
      </c>
      <c r="L391" s="149"/>
      <c r="M391" s="149"/>
      <c r="N391" s="150"/>
    </row>
    <row r="392" spans="1:14" ht="12">
      <c r="A392" s="51"/>
      <c r="B392" s="51"/>
      <c r="C392" s="51"/>
      <c r="D392" s="107"/>
      <c r="E392" s="108"/>
      <c r="F392" s="108"/>
      <c r="G392" s="109"/>
      <c r="H392" s="105"/>
      <c r="I392" s="105"/>
      <c r="J392" s="105"/>
      <c r="K392" s="105"/>
      <c r="L392" s="105"/>
      <c r="M392" s="105"/>
      <c r="N392" s="106"/>
    </row>
    <row r="393" spans="1:14" ht="12">
      <c r="A393" s="51"/>
      <c r="B393" s="51"/>
      <c r="C393" s="51"/>
      <c r="D393" s="107"/>
      <c r="E393" s="108"/>
      <c r="F393" s="108"/>
      <c r="G393" s="110" t="s">
        <v>190</v>
      </c>
      <c r="H393" s="105"/>
      <c r="I393" s="105"/>
      <c r="J393" s="105"/>
      <c r="K393" s="105"/>
      <c r="L393" s="105"/>
      <c r="M393" s="105"/>
      <c r="N393" s="105"/>
    </row>
    <row r="394" spans="1:14" ht="38.25" customHeight="1">
      <c r="A394" s="384" t="s">
        <v>487</v>
      </c>
      <c r="B394" s="385"/>
      <c r="C394" s="385"/>
      <c r="D394" s="385"/>
      <c r="E394" s="385"/>
      <c r="F394" s="385"/>
      <c r="G394" s="385"/>
      <c r="H394" s="385"/>
      <c r="I394" s="385"/>
      <c r="J394" s="385"/>
      <c r="K394" s="385"/>
      <c r="L394" s="385"/>
      <c r="M394" s="385"/>
      <c r="N394" s="385"/>
    </row>
    <row r="395" spans="1:14" ht="12">
      <c r="A395" s="51"/>
      <c r="B395" s="51"/>
      <c r="C395" s="51"/>
      <c r="D395" s="107"/>
      <c r="E395" s="108"/>
      <c r="F395" s="108"/>
      <c r="G395" s="110" t="s">
        <v>562</v>
      </c>
      <c r="H395" s="111"/>
      <c r="I395" s="111"/>
      <c r="J395" s="111"/>
      <c r="K395" s="111"/>
      <c r="L395" s="111"/>
      <c r="M395" s="111"/>
      <c r="N395" s="111"/>
    </row>
    <row r="396" spans="1:14" ht="11.4">
      <c r="A396" s="56" t="s">
        <v>510</v>
      </c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</row>
    <row r="397" spans="1:14" ht="18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</row>
    <row r="398" spans="1:14" ht="11.4">
      <c r="A398" s="51"/>
      <c r="B398" s="51"/>
      <c r="C398" s="51"/>
      <c r="D398" s="112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</row>
    <row r="399" spans="1:14" ht="14.25" customHeight="1">
      <c r="A399" s="387" t="s">
        <v>185</v>
      </c>
      <c r="B399" s="387"/>
      <c r="C399" s="387"/>
      <c r="D399" s="387"/>
      <c r="E399" s="387"/>
      <c r="F399" s="387"/>
      <c r="G399" s="387"/>
      <c r="H399" s="388" t="s">
        <v>485</v>
      </c>
      <c r="I399" s="388"/>
      <c r="J399" s="388"/>
      <c r="K399" s="388"/>
      <c r="L399" s="388"/>
      <c r="M399" s="388"/>
      <c r="N399" s="388"/>
    </row>
    <row r="400" spans="1:14" ht="12">
      <c r="A400" s="387" t="s">
        <v>186</v>
      </c>
      <c r="B400" s="387"/>
      <c r="C400" s="387"/>
      <c r="D400" s="387"/>
      <c r="E400" s="387"/>
      <c r="F400" s="387"/>
      <c r="G400" s="387"/>
      <c r="H400" s="388"/>
      <c r="I400" s="388"/>
      <c r="J400" s="58"/>
      <c r="K400" s="114"/>
      <c r="L400" s="114"/>
      <c r="M400" s="114"/>
      <c r="N400" s="114"/>
    </row>
    <row r="401" spans="1:14" ht="12">
      <c r="A401" s="387" t="s">
        <v>187</v>
      </c>
      <c r="B401" s="387"/>
      <c r="C401" s="387"/>
      <c r="D401" s="387"/>
      <c r="E401" s="387"/>
      <c r="F401" s="387"/>
      <c r="G401" s="387"/>
      <c r="H401" s="388" t="s">
        <v>486</v>
      </c>
      <c r="I401" s="388"/>
      <c r="J401" s="388"/>
      <c r="K401" s="388"/>
      <c r="L401" s="388"/>
      <c r="M401" s="388"/>
      <c r="N401" s="388"/>
    </row>
    <row r="402" spans="1:14" ht="12">
      <c r="A402" s="387" t="s">
        <v>484</v>
      </c>
      <c r="B402" s="387"/>
      <c r="C402" s="387"/>
      <c r="D402" s="387"/>
      <c r="E402" s="387"/>
      <c r="F402" s="387"/>
      <c r="G402" s="387"/>
      <c r="H402" s="108"/>
      <c r="I402" s="108"/>
      <c r="J402" s="108"/>
      <c r="K402" s="108"/>
      <c r="L402" s="108"/>
      <c r="M402" s="108"/>
      <c r="N402" s="108"/>
    </row>
    <row r="403" spans="1:14" ht="12">
      <c r="A403" s="387" t="s">
        <v>563</v>
      </c>
      <c r="B403" s="387"/>
      <c r="C403" s="387"/>
      <c r="D403" s="387"/>
      <c r="E403" s="387"/>
      <c r="F403" s="387"/>
      <c r="G403" s="387"/>
      <c r="H403" s="108"/>
      <c r="I403" s="108"/>
      <c r="J403" s="108"/>
      <c r="K403" s="108"/>
      <c r="L403" s="108"/>
      <c r="M403" s="108"/>
      <c r="N403" s="108"/>
    </row>
    <row r="404" spans="1:14" ht="9.75" customHeight="1">
      <c r="A404" s="386"/>
      <c r="B404" s="386"/>
      <c r="C404" s="386"/>
      <c r="D404" s="386"/>
      <c r="E404" s="386"/>
      <c r="F404" s="386"/>
      <c r="G404" s="386"/>
      <c r="H404" s="29"/>
      <c r="I404" s="29"/>
      <c r="J404" s="29"/>
      <c r="K404" s="29"/>
      <c r="L404" s="29"/>
      <c r="M404" s="29"/>
      <c r="N404" s="29"/>
    </row>
    <row r="405" spans="1:14" hidden="1">
      <c r="A405" s="386"/>
      <c r="B405" s="386"/>
      <c r="C405" s="386"/>
      <c r="D405" s="386"/>
      <c r="E405" s="386"/>
      <c r="F405" s="386"/>
      <c r="G405" s="386"/>
      <c r="H405" s="18"/>
      <c r="I405" s="18"/>
      <c r="J405" s="18"/>
      <c r="K405" s="18"/>
      <c r="L405" s="18"/>
      <c r="M405" s="18"/>
      <c r="N405" s="18"/>
    </row>
    <row r="406" spans="1:14" hidden="1">
      <c r="A406" s="386"/>
      <c r="B406" s="386"/>
      <c r="C406" s="386"/>
      <c r="D406" s="386"/>
      <c r="E406" s="386"/>
      <c r="F406" s="386"/>
      <c r="G406" s="386"/>
      <c r="H406" s="18"/>
      <c r="I406" s="18"/>
      <c r="J406" s="18"/>
      <c r="K406" s="18"/>
      <c r="L406" s="18"/>
      <c r="M406" s="18"/>
      <c r="N406" s="18"/>
    </row>
  </sheetData>
  <mergeCells count="13">
    <mergeCell ref="A394:N394"/>
    <mergeCell ref="A404:G404"/>
    <mergeCell ref="A405:G405"/>
    <mergeCell ref="A406:G406"/>
    <mergeCell ref="A6:G6"/>
    <mergeCell ref="A402:G402"/>
    <mergeCell ref="A403:G403"/>
    <mergeCell ref="A400:G400"/>
    <mergeCell ref="A401:G401"/>
    <mergeCell ref="A399:G399"/>
    <mergeCell ref="H399:N399"/>
    <mergeCell ref="H400:I400"/>
    <mergeCell ref="H401:N401"/>
  </mergeCells>
  <phoneticPr fontId="3" type="noConversion"/>
  <pageMargins left="0.23622047244094491" right="0.23622047244094491" top="0.74803149606299213" bottom="0.74803149606299213" header="0.31496062992125984" footer="0.31496062992125984"/>
  <pageSetup paperSize="9" firstPageNumber="10" orientation="landscape" useFirstPageNumber="1" r:id="rId1"/>
  <headerFoot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M2"/>
  <sheetViews>
    <sheetView workbookViewId="0">
      <selection activeCell="L32" sqref="L32"/>
    </sheetView>
  </sheetViews>
  <sheetFormatPr defaultRowHeight="14.4"/>
  <sheetData>
    <row r="2" spans="2:13">
      <c r="B2" s="389" t="s">
        <v>605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</row>
  </sheetData>
  <mergeCells count="1">
    <mergeCell ref="B2:M2"/>
  </mergeCells>
  <pageMargins left="0.70866141732283472" right="0.70866141732283472" top="0.74803149606299213" bottom="0.74803149606299213" header="0.31496062992125984" footer="0.31496062992125984"/>
  <pageSetup paperSize="9" firstPageNumber="27" orientation="landscape" useFirstPageNumber="1" r:id="rId1"/>
  <headerFooter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7"/>
  <sheetViews>
    <sheetView workbookViewId="0">
      <selection activeCell="K74" sqref="K74"/>
    </sheetView>
  </sheetViews>
  <sheetFormatPr defaultRowHeight="14.4"/>
  <sheetData>
    <row r="1" spans="1:14">
      <c r="A1" s="389" t="s">
        <v>606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67" spans="10:10" ht="15.6">
      <c r="J67" s="353" t="s">
        <v>490</v>
      </c>
    </row>
  </sheetData>
  <mergeCells count="1">
    <mergeCell ref="A1:N1"/>
  </mergeCells>
  <pageMargins left="0.70866141732283472" right="0.70866141732283472" top="0.15748031496062992" bottom="0.15748031496062992" header="0.31496062992125984" footer="0.11811023622047245"/>
  <pageSetup paperSize="9" firstPageNumber="28" orientation="landscape" useFirstPageNumber="1" r:id="rId1"/>
  <headerFoot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Naslovna</vt:lpstr>
      <vt:lpstr>Prihodi</vt:lpstr>
      <vt:lpstr>Tabela B</vt:lpstr>
      <vt:lpstr>Orga</vt:lpstr>
      <vt:lpstr>Funk</vt:lpstr>
      <vt:lpstr>Tab C</vt:lpstr>
      <vt:lpstr>Dijagram prihoda</vt:lpstr>
      <vt:lpstr>Dijagram rashoda</vt:lpstr>
      <vt:lpstr>Prihodi!Print_Area</vt:lpstr>
      <vt:lpstr>'Tab C'!Print_Area</vt:lpstr>
    </vt:vector>
  </TitlesOfParts>
  <Company>Opcina Srebrenik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nkaric</dc:creator>
  <cp:lastModifiedBy>Mladi novinari</cp:lastModifiedBy>
  <cp:lastPrinted>2023-10-19T07:14:26Z</cp:lastPrinted>
  <dcterms:created xsi:type="dcterms:W3CDTF">2019-05-14T06:10:55Z</dcterms:created>
  <dcterms:modified xsi:type="dcterms:W3CDTF">2023-10-19T16:03:13Z</dcterms:modified>
</cp:coreProperties>
</file>